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60" windowWidth="11235" windowHeight="8580" tabRatio="575"/>
  </bookViews>
  <sheets>
    <sheet name="Orçamento" sheetId="4" r:id="rId1"/>
    <sheet name="Cronograma" sheetId="5" r:id="rId2"/>
    <sheet name="Plan1" sheetId="6" r:id="rId3"/>
  </sheets>
  <definedNames>
    <definedName name="_xlnm.Print_Area" localSheetId="1">Cronograma!$A$1:$R$33</definedName>
    <definedName name="_xlnm.Print_Area" localSheetId="0">Orçamento!$A$1:$I$42</definedName>
    <definedName name="_xlnm.Print_Titles" localSheetId="0">Orçamento!$1:$12</definedName>
  </definedNames>
  <calcPr calcId="144525"/>
</workbook>
</file>

<file path=xl/calcChain.xml><?xml version="1.0" encoding="utf-8"?>
<calcChain xmlns="http://schemas.openxmlformats.org/spreadsheetml/2006/main">
  <c r="E18" i="4" l="1"/>
  <c r="C6" i="6" l="1"/>
  <c r="F4" i="6"/>
  <c r="F5" i="6"/>
  <c r="F6" i="6"/>
  <c r="F7" i="6"/>
  <c r="F8" i="6"/>
  <c r="E8" i="6"/>
  <c r="E7" i="6"/>
  <c r="E6" i="6"/>
  <c r="E5" i="6"/>
  <c r="D8" i="6"/>
  <c r="D7" i="6"/>
  <c r="D6" i="6"/>
  <c r="F9" i="6" l="1"/>
  <c r="D4" i="6"/>
  <c r="D5" i="6"/>
  <c r="M15" i="4" l="1"/>
  <c r="M19" i="4"/>
  <c r="M20" i="4"/>
  <c r="M21" i="4"/>
  <c r="M14" i="4"/>
  <c r="C16" i="6" l="1"/>
  <c r="I16" i="6" s="1"/>
  <c r="I18" i="6" l="1"/>
  <c r="I15" i="6"/>
  <c r="I17" i="6"/>
  <c r="I20" i="6"/>
  <c r="I19" i="6"/>
  <c r="E21" i="4" l="1"/>
  <c r="C37" i="6"/>
  <c r="D33" i="6"/>
  <c r="D34" i="6"/>
  <c r="D35" i="6"/>
  <c r="D36" i="6"/>
  <c r="D32" i="6"/>
  <c r="D22" i="6"/>
  <c r="K16" i="6" s="1"/>
  <c r="D23" i="6"/>
  <c r="K17" i="6" s="1"/>
  <c r="D25" i="6"/>
  <c r="K19" i="6" s="1"/>
  <c r="C24" i="6"/>
  <c r="D24" i="6" s="1"/>
  <c r="K18" i="6" s="1"/>
  <c r="C21" i="6"/>
  <c r="G5" i="6"/>
  <c r="G7" i="6"/>
  <c r="G8" i="6"/>
  <c r="G6" i="6"/>
  <c r="C26" i="6" l="1"/>
  <c r="L17" i="6"/>
  <c r="J17" i="6"/>
  <c r="L15" i="6"/>
  <c r="J15" i="6"/>
  <c r="L16" i="6"/>
  <c r="J16" i="6"/>
  <c r="L19" i="6"/>
  <c r="J19" i="6"/>
  <c r="D21" i="6"/>
  <c r="L18" i="6"/>
  <c r="J18" i="6"/>
  <c r="D37" i="6"/>
  <c r="J20" i="6" s="1"/>
  <c r="G4" i="6"/>
  <c r="L20" i="6" l="1"/>
  <c r="K15" i="6"/>
  <c r="D26" i="6"/>
  <c r="K20" i="6" s="1"/>
  <c r="G9" i="6"/>
  <c r="E16" i="4"/>
  <c r="M16" i="4" s="1"/>
  <c r="K31" i="5"/>
  <c r="K33" i="5"/>
  <c r="K32" i="5"/>
  <c r="D33" i="5"/>
  <c r="D32" i="5"/>
  <c r="C29" i="5"/>
  <c r="I31" i="4" l="1"/>
  <c r="G17" i="4" s="1"/>
  <c r="G20" i="4" l="1"/>
  <c r="M13" i="6" s="1"/>
  <c r="G21" i="4"/>
  <c r="G14" i="4"/>
  <c r="G16" i="4"/>
  <c r="G18" i="4"/>
  <c r="M15" i="6" l="1"/>
  <c r="M16" i="6"/>
  <c r="M18" i="6"/>
  <c r="M17" i="6"/>
  <c r="M19" i="6"/>
  <c r="E17" i="4"/>
  <c r="M17" i="4" s="1"/>
  <c r="M20" i="6" l="1"/>
  <c r="H21" i="4"/>
  <c r="H20" i="4"/>
  <c r="H16" i="4"/>
  <c r="I21" i="4"/>
  <c r="I20" i="4"/>
  <c r="I16" i="4"/>
  <c r="M18" i="4"/>
  <c r="M34" i="4" s="1"/>
  <c r="M36" i="4" s="1"/>
  <c r="E14" i="4"/>
  <c r="H14" i="4" s="1"/>
  <c r="H13" i="4" s="1"/>
  <c r="H17" i="4" l="1"/>
  <c r="I17" i="4"/>
  <c r="I14" i="4"/>
  <c r="I13" i="4" s="1"/>
  <c r="I18" i="4"/>
  <c r="H18" i="4"/>
  <c r="H19" i="4"/>
  <c r="H15" i="4" l="1"/>
  <c r="H33" i="4" s="1"/>
  <c r="Q13" i="5"/>
  <c r="C12" i="5"/>
  <c r="C11" i="5"/>
  <c r="E19" i="5"/>
  <c r="B23" i="5" l="1"/>
  <c r="A23" i="5"/>
  <c r="B21" i="5"/>
  <c r="A21" i="5"/>
  <c r="B19" i="5"/>
  <c r="A19" i="5"/>
  <c r="I19" i="4" l="1"/>
  <c r="R24" i="5"/>
  <c r="R22" i="5"/>
  <c r="R20" i="5"/>
  <c r="F19" i="5" l="1"/>
  <c r="H19" i="5" s="1"/>
  <c r="F23" i="5"/>
  <c r="H23" i="5" l="1"/>
  <c r="J19" i="5"/>
  <c r="Q19" i="5" l="1"/>
  <c r="K20" i="5" s="1"/>
  <c r="J23" i="5"/>
  <c r="L19" i="5"/>
  <c r="N19" i="5" s="1"/>
  <c r="E20" i="5" l="1"/>
  <c r="G20" i="5"/>
  <c r="I20" i="5"/>
  <c r="M20" i="5"/>
  <c r="L23" i="5"/>
  <c r="O20" i="5" l="1"/>
  <c r="P19" i="5"/>
  <c r="N23" i="5" l="1"/>
  <c r="P23" i="5" l="1"/>
  <c r="Q23" i="5"/>
  <c r="E24" i="5" l="1"/>
  <c r="O24" i="5"/>
  <c r="I24" i="5"/>
  <c r="G24" i="5"/>
  <c r="M24" i="5"/>
  <c r="K24" i="5"/>
  <c r="I15" i="4" l="1"/>
  <c r="Q21" i="5" l="1"/>
  <c r="Q25" i="5" s="1"/>
  <c r="R21" i="5" s="1"/>
  <c r="I34" i="4"/>
  <c r="I37" i="4" s="1"/>
  <c r="K22" i="5" l="1"/>
  <c r="K25" i="5" s="1"/>
  <c r="L25" i="5" s="1"/>
  <c r="I22" i="5"/>
  <c r="I25" i="5" s="1"/>
  <c r="J25" i="5" s="1"/>
  <c r="M22" i="5"/>
  <c r="M25" i="5" s="1"/>
  <c r="N25" i="5" s="1"/>
  <c r="O22" i="5"/>
  <c r="O25" i="5" s="1"/>
  <c r="P25" i="5" s="1"/>
  <c r="E22" i="5"/>
  <c r="E25" i="5" s="1"/>
  <c r="F21" i="5"/>
  <c r="G22" i="5"/>
  <c r="G25" i="5" s="1"/>
  <c r="H25" i="5" s="1"/>
  <c r="R23" i="5"/>
  <c r="R19" i="5"/>
  <c r="K26" i="5" l="1"/>
  <c r="I26" i="5"/>
  <c r="O26" i="5"/>
  <c r="M26" i="5"/>
  <c r="R25" i="5"/>
  <c r="H21" i="5"/>
  <c r="J21" i="5" s="1"/>
  <c r="L21" i="5" s="1"/>
  <c r="N21" i="5" s="1"/>
  <c r="P21" i="5" s="1"/>
  <c r="F25" i="5"/>
  <c r="E26" i="5"/>
  <c r="E27" i="5" s="1"/>
  <c r="G26" i="5"/>
  <c r="G27" i="5" l="1"/>
  <c r="I27" i="5" s="1"/>
  <c r="K27" i="5" s="1"/>
  <c r="M27" i="5" s="1"/>
  <c r="O27" i="5" s="1"/>
  <c r="Q27" i="5" s="1"/>
</calcChain>
</file>

<file path=xl/sharedStrings.xml><?xml version="1.0" encoding="utf-8"?>
<sst xmlns="http://schemas.openxmlformats.org/spreadsheetml/2006/main" count="167" uniqueCount="121">
  <si>
    <t>ITEM</t>
  </si>
  <si>
    <t>UNID.</t>
  </si>
  <si>
    <t>QUANT.</t>
  </si>
  <si>
    <t>1.0</t>
  </si>
  <si>
    <t>sub-total</t>
  </si>
  <si>
    <t>Cliente     :</t>
  </si>
  <si>
    <t>Calculista</t>
  </si>
  <si>
    <t>Local        :</t>
  </si>
  <si>
    <t>Obra         :</t>
  </si>
  <si>
    <t>Municipio :</t>
  </si>
  <si>
    <t>SERVIÇOS A EXECUTAR</t>
  </si>
  <si>
    <t>DISCRIMINAÇÃO</t>
  </si>
  <si>
    <t>DOS</t>
  </si>
  <si>
    <t>1º MES</t>
  </si>
  <si>
    <t>2º MES</t>
  </si>
  <si>
    <t>3º MES</t>
  </si>
  <si>
    <t>4º MES</t>
  </si>
  <si>
    <t>5º MES</t>
  </si>
  <si>
    <t>6º MES</t>
  </si>
  <si>
    <t xml:space="preserve">VALOR DOS  </t>
  </si>
  <si>
    <t>PESO</t>
  </si>
  <si>
    <t>SERVIÇOS</t>
  </si>
  <si>
    <t>Parc. %</t>
  </si>
  <si>
    <t>Acum. %</t>
  </si>
  <si>
    <t>SERVIÇOS (R$)</t>
  </si>
  <si>
    <t>%</t>
  </si>
  <si>
    <t>Fisico%</t>
  </si>
  <si>
    <t>Financeiro</t>
  </si>
  <si>
    <t>TOTAL EM %</t>
  </si>
  <si>
    <t>PARCELA MENSAL EM R$</t>
  </si>
  <si>
    <t>PARCELA ACUMULADA EM R$</t>
  </si>
  <si>
    <t>M3</t>
  </si>
  <si>
    <t>M2</t>
  </si>
  <si>
    <t>PREFEITURA MUNICIPAL DE AGUAÍ</t>
  </si>
  <si>
    <t>SECRETARIA MUNICIPAL DE PLANEJAMENTO, SERVIÇOS URBANOS E MEIO AMBIENTE</t>
  </si>
  <si>
    <t>CIDADE: Aguaí/SP</t>
  </si>
  <si>
    <t>Prefeitura Municipal de Aguaí</t>
  </si>
  <si>
    <t>Aguaí - SP</t>
  </si>
  <si>
    <t xml:space="preserve">LOCAL:  </t>
  </si>
  <si>
    <t>1.1</t>
  </si>
  <si>
    <t>2.0</t>
  </si>
  <si>
    <t>DESCRIMINAÇÃO - FORNECIMENTO DE MATERIAIS E SERVIÇOS</t>
  </si>
  <si>
    <t>PLACA DA OBRA</t>
  </si>
  <si>
    <t>RECAPEAMENTO</t>
  </si>
  <si>
    <t>2.1</t>
  </si>
  <si>
    <t>2.2</t>
  </si>
  <si>
    <t>2.3</t>
  </si>
  <si>
    <t>3.0</t>
  </si>
  <si>
    <t>SINALIZAÇÃO</t>
  </si>
  <si>
    <t>3.1</t>
  </si>
  <si>
    <t>OBJETO:</t>
  </si>
  <si>
    <t>P. UNIT.
S/ BDI</t>
  </si>
  <si>
    <t>P. UNIT.
C/ BDI</t>
  </si>
  <si>
    <t>PRECO TOTAL
S/BDI</t>
  </si>
  <si>
    <t>PRECO TOTAL
C/BDI</t>
  </si>
  <si>
    <t>Responsável Técnica: Janaina Albuqerque Alves  CREA 5069702073</t>
  </si>
  <si>
    <t>RUAS:</t>
  </si>
  <si>
    <t>Bonificação e Despesas Indiretas</t>
  </si>
  <si>
    <t>Total</t>
  </si>
  <si>
    <t>Total com BDI</t>
  </si>
  <si>
    <t>Repasse</t>
  </si>
  <si>
    <t>Contrapartida</t>
  </si>
  <si>
    <t>Responsável Técnica</t>
  </si>
  <si>
    <t>_________________________________</t>
  </si>
  <si>
    <t>BDI = [(1+AC+S+G+R)X(1+DF)X(1+L)/(1-I1-I2)]-1   (SEM DESONERAÇÃO)</t>
  </si>
  <si>
    <t>Secretário Municipal de Planejamento, Serviços Urbanos e Meio Ambiente</t>
  </si>
  <si>
    <t>______________________________</t>
  </si>
  <si>
    <t>Rua</t>
  </si>
  <si>
    <t>Comprimento</t>
  </si>
  <si>
    <t>Aparecida Vallim Freitas</t>
  </si>
  <si>
    <t>Rua Francisco Chagas</t>
  </si>
  <si>
    <t>Rua Joaquim Simões</t>
  </si>
  <si>
    <t>Rua Olinda Rosa Alonso</t>
  </si>
  <si>
    <t>Área (m²)</t>
  </si>
  <si>
    <t>Volume (m³)</t>
  </si>
  <si>
    <t>Faixa descontínua</t>
  </si>
  <si>
    <t xml:space="preserve">Rua Valério Braido </t>
  </si>
  <si>
    <t>Faixa contínua</t>
  </si>
  <si>
    <t>Quant.</t>
  </si>
  <si>
    <t>3.2</t>
  </si>
  <si>
    <t>ART: 28027230180178391</t>
  </si>
  <si>
    <t>Sinalização Total por rua</t>
  </si>
  <si>
    <t>Faixa pedestre</t>
  </si>
  <si>
    <t>RUA</t>
  </si>
  <si>
    <t>pare</t>
  </si>
  <si>
    <t>FAIXA CONTÍNUA (m2)</t>
  </si>
  <si>
    <t>FAIXA DE PEDESTRE + PARE (m2)</t>
  </si>
  <si>
    <t>FAIXA DESCONTÍNUA (m2)</t>
  </si>
  <si>
    <t>TOTAL (m2)</t>
  </si>
  <si>
    <t xml:space="preserve">Recapeamento Asfáltico, Sinalização Horizontal e Sinalização Vertical </t>
  </si>
  <si>
    <t>Jardim dos Alpes - Rua Aparecida Vallim Freitas, Rua Francisco Chagas, Rua Valério Braido, Rua Joaquim S. Eulálio, Rua Olinda Rosa Alonso</t>
  </si>
  <si>
    <t>com desoneração</t>
  </si>
  <si>
    <t>Área (m²) Cruzamento</t>
  </si>
  <si>
    <t xml:space="preserve">Aparecida Vallim Freitas 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</si>
  <si>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</si>
  <si>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</si>
  <si>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</si>
  <si>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</si>
  <si>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</si>
  <si>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</si>
  <si>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Lei Municipal 1953/2003)</t>
    </r>
  </si>
  <si>
    <t>Área (m²) Trecho Retilíneo</t>
  </si>
  <si>
    <t>Área Total (m²)</t>
  </si>
  <si>
    <t>Comprimento (m)</t>
  </si>
  <si>
    <t>BASE: SINAPI mar/2018 - Sem Desoneração</t>
  </si>
  <si>
    <t>74209/001</t>
  </si>
  <si>
    <t>SINALIZACAO HORIZONTAL COM TINTA RETRORREFLETIVA A BASE DE RESINA ACRILICA COM MICROESFERAS DE VIDRO</t>
  </si>
  <si>
    <t>PLACA DE SINALIZACAO EM CHAPA DE ACO NUM 16 COM PINTURA REFLETIVA PLACA - PARE</t>
  </si>
  <si>
    <t>Área total de Arruamento: 8.757,0 m2  |  Extensão total dos Arruamentos: 875,7m</t>
  </si>
  <si>
    <t>DATA  : 07/05/2018</t>
  </si>
  <si>
    <t>Aguaí, 07 de maio de 2018</t>
  </si>
  <si>
    <t>PLACA DE OBRA EM CHAPA DE ACO GALVANIZADO</t>
  </si>
  <si>
    <t>PINTURA DE LIGACAO COM EMULSAO RR-2C</t>
  </si>
  <si>
    <t>CONSTRUÇÃO DE PAVIMENTO COM APLICAÇÃO DE CONCRETO BETUMINOSO USINADO A QUENTE (CBUQ), CAMADA DE ROLAMENTO, COM ESPESSURA DE 3,0 CM - EXCLUSIVE TRANSPORTE. AF_03/2017</t>
  </si>
  <si>
    <t>CÓDIGO</t>
  </si>
  <si>
    <t>TXKM</t>
  </si>
  <si>
    <t>TRANSPORTE COMERCIAL COM CAMINHAO BASCULANTE 6 M3, RODOVIA PAVIMENTADA 1.1 (DMT=5 KM)</t>
  </si>
  <si>
    <t>Engª Civil Janaina Albuquerque Alves</t>
  </si>
  <si>
    <t>Arqº Daniel Garcia Cobra Monteiro</t>
  </si>
  <si>
    <t>ANEXO II - PLANILHA ORÇAMENTÁRIA</t>
  </si>
  <si>
    <t>ANEXO III - CRONOGRAMA FISÍCO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</si>
</sst>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&quot;* #,##0.00_);_(&quot;R$&quot;* \(#,##0.00\);_(&quot;R$&quot;* \-??_);_(@_)"/>
    <numFmt numFmtId="165" formatCode="_(* #,##0.00_);_(* \(#,##0.00\);_(* \-??_);_(@_)"/>
    <numFmt numFmtId="166" formatCode="0.0%"/>
    <numFmt numFmtId="167" formatCode="_-[$R$-416]\ * #,##0.00_-;\-[$R$-416]\ * #,##0.00_-;_-[$R$-416]\ * &quot;-&quot;??_-;_-@_-"/>
    <numFmt numFmtId="168" formatCode="0.000%"/>
  </numFmts>
  <fonts count="48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sz val="11"/>
      <name val="Arial"/>
      <family val="2"/>
    </font>
    <font>
      <b/>
      <i/>
      <sz val="14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trike/>
      <sz val="12"/>
      <name val="Arial"/>
      <family val="2"/>
      <charset val="1"/>
    </font>
    <font>
      <b/>
      <i/>
      <sz val="12"/>
      <name val="Arial"/>
      <family val="2"/>
      <charset val="1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4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  <charset val="1"/>
    </font>
    <font>
      <i/>
      <sz val="11"/>
      <name val="Arial"/>
      <family val="2"/>
      <charset val="1"/>
    </font>
    <font>
      <sz val="11"/>
      <name val="Arial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33" fillId="0" borderId="0" applyFill="0" applyBorder="0" applyAlignment="0" applyProtection="0"/>
    <xf numFmtId="0" fontId="10" fillId="22" borderId="0" applyNumberFormat="0" applyBorder="0" applyAlignment="0" applyProtection="0"/>
    <xf numFmtId="0" fontId="33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165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</cellStyleXfs>
  <cellXfs count="232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Border="1"/>
    <xf numFmtId="10" fontId="0" fillId="24" borderId="0" xfId="0" applyNumberFormat="1" applyFill="1" applyAlignment="1">
      <alignment horizontal="center"/>
    </xf>
    <xf numFmtId="165" fontId="0" fillId="0" borderId="0" xfId="0" applyNumberFormat="1"/>
    <xf numFmtId="0" fontId="25" fillId="0" borderId="0" xfId="0" applyFont="1" applyBorder="1" applyAlignment="1"/>
    <xf numFmtId="0" fontId="27" fillId="0" borderId="13" xfId="0" applyFont="1" applyBorder="1" applyAlignment="1">
      <alignment horizontal="right" vertical="top"/>
    </xf>
    <xf numFmtId="2" fontId="28" fillId="0" borderId="14" xfId="0" applyNumberFormat="1" applyFont="1" applyBorder="1" applyAlignment="1" applyProtection="1">
      <alignment horizontal="right" vertical="center"/>
    </xf>
    <xf numFmtId="2" fontId="28" fillId="0" borderId="11" xfId="0" applyNumberFormat="1" applyFont="1" applyBorder="1" applyAlignment="1" applyProtection="1">
      <alignment horizontal="center" vertical="center"/>
    </xf>
    <xf numFmtId="2" fontId="28" fillId="0" borderId="15" xfId="0" applyNumberFormat="1" applyFont="1" applyBorder="1" applyAlignment="1" applyProtection="1">
      <alignment horizontal="right" vertical="center"/>
    </xf>
    <xf numFmtId="4" fontId="27" fillId="0" borderId="16" xfId="0" applyNumberFormat="1" applyFont="1" applyBorder="1" applyAlignment="1" applyProtection="1">
      <alignment horizontal="center" vertical="center"/>
    </xf>
    <xf numFmtId="4" fontId="27" fillId="0" borderId="11" xfId="0" applyNumberFormat="1" applyFont="1" applyBorder="1" applyAlignment="1" applyProtection="1">
      <alignment horizontal="center" vertical="center"/>
      <protection locked="0"/>
    </xf>
    <xf numFmtId="4" fontId="28" fillId="25" borderId="11" xfId="0" applyNumberFormat="1" applyFont="1" applyFill="1" applyBorder="1" applyAlignment="1" applyProtection="1">
      <alignment horizontal="center" vertical="center"/>
    </xf>
    <xf numFmtId="4" fontId="27" fillId="0" borderId="11" xfId="0" applyNumberFormat="1" applyFont="1" applyBorder="1" applyAlignment="1" applyProtection="1">
      <alignment horizontal="center" vertical="center"/>
    </xf>
    <xf numFmtId="4" fontId="28" fillId="16" borderId="11" xfId="0" applyNumberFormat="1" applyFont="1" applyFill="1" applyBorder="1" applyAlignment="1" applyProtection="1">
      <alignment horizontal="center" vertical="center"/>
    </xf>
    <xf numFmtId="4" fontId="19" fillId="0" borderId="16" xfId="0" applyNumberFormat="1" applyFont="1" applyBorder="1" applyAlignment="1" applyProtection="1">
      <alignment horizontal="left" vertical="center"/>
    </xf>
    <xf numFmtId="4" fontId="27" fillId="0" borderId="17" xfId="0" applyNumberFormat="1" applyFont="1" applyBorder="1" applyAlignment="1" applyProtection="1">
      <alignment horizontal="center" vertical="center"/>
    </xf>
    <xf numFmtId="4" fontId="28" fillId="25" borderId="17" xfId="0" applyNumberFormat="1" applyFont="1" applyFill="1" applyBorder="1" applyAlignment="1" applyProtection="1">
      <alignment horizontal="center" vertical="center"/>
    </xf>
    <xf numFmtId="4" fontId="30" fillId="25" borderId="18" xfId="0" applyNumberFormat="1" applyFont="1" applyFill="1" applyBorder="1" applyAlignment="1">
      <alignment horizontal="right" vertical="center"/>
    </xf>
    <xf numFmtId="0" fontId="19" fillId="0" borderId="19" xfId="0" applyFont="1" applyBorder="1" applyAlignment="1" applyProtection="1">
      <alignment horizontal="left" vertical="center"/>
    </xf>
    <xf numFmtId="4" fontId="31" fillId="25" borderId="16" xfId="0" applyNumberFormat="1" applyFont="1" applyFill="1" applyBorder="1" applyAlignment="1" applyProtection="1">
      <alignment horizontal="right" vertical="center"/>
    </xf>
    <xf numFmtId="0" fontId="23" fillId="0" borderId="0" xfId="0" applyFont="1" applyBorder="1"/>
    <xf numFmtId="0" fontId="0" fillId="0" borderId="0" xfId="0" applyBorder="1"/>
    <xf numFmtId="0" fontId="0" fillId="0" borderId="0" xfId="0" applyAlignment="1">
      <alignment wrapText="1"/>
    </xf>
    <xf numFmtId="0" fontId="0" fillId="24" borderId="0" xfId="0" applyFont="1" applyFill="1" applyAlignment="1">
      <alignment horizontal="center" wrapText="1"/>
    </xf>
    <xf numFmtId="0" fontId="23" fillId="0" borderId="38" xfId="0" applyFont="1" applyBorder="1"/>
    <xf numFmtId="4" fontId="23" fillId="0" borderId="40" xfId="0" applyNumberFormat="1" applyFont="1" applyBorder="1" applyAlignment="1">
      <alignment horizontal="right"/>
    </xf>
    <xf numFmtId="4" fontId="23" fillId="0" borderId="41" xfId="31" applyNumberFormat="1" applyFont="1" applyFill="1" applyBorder="1" applyAlignment="1" applyProtection="1">
      <alignment horizontal="left"/>
    </xf>
    <xf numFmtId="0" fontId="23" fillId="0" borderId="45" xfId="0" applyFont="1" applyBorder="1"/>
    <xf numFmtId="0" fontId="23" fillId="0" borderId="45" xfId="0" applyFont="1" applyBorder="1" applyAlignment="1">
      <alignment wrapText="1"/>
    </xf>
    <xf numFmtId="0" fontId="23" fillId="0" borderId="37" xfId="0" applyFont="1" applyBorder="1"/>
    <xf numFmtId="0" fontId="23" fillId="0" borderId="47" xfId="0" applyFont="1" applyBorder="1"/>
    <xf numFmtId="14" fontId="21" fillId="0" borderId="47" xfId="0" applyNumberFormat="1" applyFont="1" applyBorder="1" applyAlignment="1">
      <alignment horizontal="left"/>
    </xf>
    <xf numFmtId="0" fontId="24" fillId="0" borderId="0" xfId="0" applyFont="1"/>
    <xf numFmtId="0" fontId="21" fillId="0" borderId="42" xfId="0" applyFont="1" applyBorder="1"/>
    <xf numFmtId="0" fontId="21" fillId="0" borderId="43" xfId="0" applyFont="1" applyBorder="1"/>
    <xf numFmtId="4" fontId="21" fillId="0" borderId="43" xfId="0" applyNumberFormat="1" applyFont="1" applyBorder="1" applyAlignment="1">
      <alignment horizontal="right"/>
    </xf>
    <xf numFmtId="0" fontId="21" fillId="0" borderId="43" xfId="0" applyFont="1" applyBorder="1" applyAlignment="1">
      <alignment horizontal="right"/>
    </xf>
    <xf numFmtId="0" fontId="21" fillId="0" borderId="44" xfId="0" applyFont="1" applyBorder="1" applyAlignment="1">
      <alignment horizontal="right"/>
    </xf>
    <xf numFmtId="0" fontId="21" fillId="0" borderId="45" xfId="0" applyFont="1" applyBorder="1"/>
    <xf numFmtId="0" fontId="21" fillId="0" borderId="0" xfId="0" applyFont="1" applyBorder="1" applyAlignment="1">
      <alignment horizontal="right"/>
    </xf>
    <xf numFmtId="0" fontId="21" fillId="0" borderId="46" xfId="0" applyFont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0" fontId="23" fillId="0" borderId="10" xfId="0" applyFont="1" applyBorder="1"/>
    <xf numFmtId="0" fontId="23" fillId="0" borderId="10" xfId="0" applyFont="1" applyBorder="1" applyAlignment="1">
      <alignment horizontal="center"/>
    </xf>
    <xf numFmtId="164" fontId="23" fillId="0" borderId="34" xfId="31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4" fontId="23" fillId="0" borderId="15" xfId="36" applyNumberFormat="1" applyFont="1" applyFill="1" applyBorder="1" applyAlignment="1" applyProtection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6" fillId="0" borderId="51" xfId="0" applyFont="1" applyBorder="1" applyAlignment="1">
      <alignment horizontal="right"/>
    </xf>
    <xf numFmtId="0" fontId="21" fillId="0" borderId="51" xfId="0" applyFont="1" applyBorder="1" applyAlignment="1">
      <alignment horizontal="center"/>
    </xf>
    <xf numFmtId="4" fontId="21" fillId="25" borderId="51" xfId="0" applyNumberFormat="1" applyFont="1" applyFill="1" applyBorder="1" applyAlignment="1">
      <alignment horizontal="center"/>
    </xf>
    <xf numFmtId="0" fontId="38" fillId="0" borderId="51" xfId="48" applyFont="1" applyBorder="1" applyAlignment="1">
      <alignment vertical="center"/>
    </xf>
    <xf numFmtId="0" fontId="35" fillId="0" borderId="51" xfId="0" applyFont="1" applyBorder="1" applyAlignment="1">
      <alignment horizontal="right"/>
    </xf>
    <xf numFmtId="167" fontId="23" fillId="25" borderId="51" xfId="0" applyNumberFormat="1" applyFont="1" applyFill="1" applyBorder="1" applyAlignment="1">
      <alignment horizontal="center"/>
    </xf>
    <xf numFmtId="4" fontId="23" fillId="25" borderId="51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right" vertical="center"/>
    </xf>
    <xf numFmtId="4" fontId="21" fillId="0" borderId="0" xfId="0" applyNumberFormat="1" applyFont="1" applyFill="1" applyBorder="1" applyAlignment="1"/>
    <xf numFmtId="4" fontId="35" fillId="0" borderId="0" xfId="0" applyNumberFormat="1" applyFont="1" applyFill="1" applyBorder="1" applyAlignment="1">
      <alignment horizontal="right"/>
    </xf>
    <xf numFmtId="164" fontId="35" fillId="0" borderId="0" xfId="31" applyFont="1" applyFill="1" applyBorder="1" applyAlignment="1" applyProtection="1">
      <alignment horizontal="center" vertical="center"/>
    </xf>
    <xf numFmtId="0" fontId="36" fillId="0" borderId="0" xfId="0" applyFont="1"/>
    <xf numFmtId="4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right"/>
    </xf>
    <xf numFmtId="0" fontId="23" fillId="0" borderId="53" xfId="0" applyFont="1" applyBorder="1"/>
    <xf numFmtId="0" fontId="36" fillId="0" borderId="5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/>
    </xf>
    <xf numFmtId="166" fontId="37" fillId="0" borderId="57" xfId="34" applyNumberFormat="1" applyFont="1" applyBorder="1" applyAlignment="1">
      <alignment horizontal="center" vertical="center"/>
    </xf>
    <xf numFmtId="166" fontId="39" fillId="0" borderId="57" xfId="34" applyNumberFormat="1" applyFont="1" applyBorder="1" applyAlignment="1">
      <alignment horizontal="center" vertical="center"/>
    </xf>
    <xf numFmtId="167" fontId="35" fillId="0" borderId="57" xfId="36" applyNumberFormat="1" applyFont="1" applyBorder="1" applyAlignment="1">
      <alignment horizontal="center" vertical="center"/>
    </xf>
    <xf numFmtId="0" fontId="23" fillId="0" borderId="59" xfId="0" applyFont="1" applyBorder="1" applyAlignment="1">
      <alignment horizontal="right" vertical="center"/>
    </xf>
    <xf numFmtId="0" fontId="23" fillId="0" borderId="60" xfId="0" applyFont="1" applyBorder="1" applyAlignment="1">
      <alignment horizontal="right" vertical="center"/>
    </xf>
    <xf numFmtId="0" fontId="23" fillId="0" borderId="60" xfId="0" applyFont="1" applyFill="1" applyBorder="1" applyAlignment="1">
      <alignment horizontal="right"/>
    </xf>
    <xf numFmtId="4" fontId="21" fillId="0" borderId="60" xfId="0" applyNumberFormat="1" applyFont="1" applyFill="1" applyBorder="1" applyAlignment="1"/>
    <xf numFmtId="4" fontId="35" fillId="0" borderId="60" xfId="0" applyNumberFormat="1" applyFont="1" applyFill="1" applyBorder="1" applyAlignment="1">
      <alignment horizontal="right"/>
    </xf>
    <xf numFmtId="164" fontId="35" fillId="0" borderId="60" xfId="31" applyFont="1" applyFill="1" applyBorder="1" applyAlignment="1" applyProtection="1">
      <alignment horizontal="center" vertical="center"/>
    </xf>
    <xf numFmtId="164" fontId="35" fillId="0" borderId="61" xfId="31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0" fillId="0" borderId="0" xfId="0" applyFont="1"/>
    <xf numFmtId="0" fontId="41" fillId="0" borderId="0" xfId="0" applyFont="1" applyBorder="1" applyAlignment="1"/>
    <xf numFmtId="4" fontId="23" fillId="0" borderId="40" xfId="0" applyNumberFormat="1" applyFont="1" applyBorder="1" applyAlignment="1">
      <alignment horizontal="center" vertical="center"/>
    </xf>
    <xf numFmtId="0" fontId="42" fillId="0" borderId="51" xfId="0" applyFont="1" applyBorder="1" applyAlignment="1">
      <alignment vertical="center" wrapText="1"/>
    </xf>
    <xf numFmtId="0" fontId="0" fillId="0" borderId="51" xfId="0" applyBorder="1"/>
    <xf numFmtId="2" fontId="0" fillId="0" borderId="51" xfId="0" applyNumberFormat="1" applyBorder="1"/>
    <xf numFmtId="0" fontId="0" fillId="0" borderId="35" xfId="0" applyBorder="1"/>
    <xf numFmtId="2" fontId="0" fillId="0" borderId="35" xfId="0" applyNumberFormat="1" applyBorder="1"/>
    <xf numFmtId="0" fontId="0" fillId="0" borderId="51" xfId="0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164" fontId="23" fillId="0" borderId="33" xfId="31" applyFont="1" applyFill="1" applyBorder="1" applyAlignment="1" applyProtection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vertical="center"/>
    </xf>
    <xf numFmtId="0" fontId="0" fillId="0" borderId="45" xfId="0" applyBorder="1"/>
    <xf numFmtId="0" fontId="0" fillId="0" borderId="42" xfId="0" applyBorder="1"/>
    <xf numFmtId="0" fontId="0" fillId="0" borderId="43" xfId="0" applyBorder="1"/>
    <xf numFmtId="0" fontId="0" fillId="0" borderId="43" xfId="0" applyBorder="1" applyAlignment="1">
      <alignment horizontal="right"/>
    </xf>
    <xf numFmtId="0" fontId="0" fillId="0" borderId="44" xfId="0" applyBorder="1"/>
    <xf numFmtId="0" fontId="0" fillId="0" borderId="0" xfId="0" applyBorder="1" applyAlignment="1">
      <alignment horizontal="right"/>
    </xf>
    <xf numFmtId="0" fontId="0" fillId="0" borderId="46" xfId="0" applyBorder="1"/>
    <xf numFmtId="0" fontId="27" fillId="0" borderId="78" xfId="0" applyFont="1" applyBorder="1" applyAlignment="1">
      <alignment horizontal="right"/>
    </xf>
    <xf numFmtId="2" fontId="28" fillId="0" borderId="87" xfId="0" applyNumberFormat="1" applyFont="1" applyBorder="1" applyAlignment="1" applyProtection="1">
      <alignment horizontal="center" vertical="center"/>
    </xf>
    <xf numFmtId="2" fontId="28" fillId="0" borderId="46" xfId="0" applyNumberFormat="1" applyFont="1" applyBorder="1" applyAlignment="1" applyProtection="1">
      <alignment horizontal="center" vertical="center"/>
    </xf>
    <xf numFmtId="4" fontId="30" fillId="25" borderId="62" xfId="0" applyNumberFormat="1" applyFont="1" applyFill="1" applyBorder="1" applyAlignment="1">
      <alignment horizontal="right" vertical="center"/>
    </xf>
    <xf numFmtId="0" fontId="19" fillId="0" borderId="94" xfId="0" applyFont="1" applyBorder="1" applyAlignment="1" applyProtection="1">
      <alignment horizontal="left" vertical="center"/>
    </xf>
    <xf numFmtId="10" fontId="30" fillId="25" borderId="95" xfId="0" applyNumberFormat="1" applyFont="1" applyFill="1" applyBorder="1" applyAlignment="1" applyProtection="1">
      <alignment horizontal="right" vertical="center"/>
    </xf>
    <xf numFmtId="0" fontId="42" fillId="0" borderId="51" xfId="0" applyFont="1" applyBorder="1" applyAlignment="1">
      <alignment horizontal="center" vertical="center" wrapText="1"/>
    </xf>
    <xf numFmtId="2" fontId="42" fillId="0" borderId="51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2" fontId="0" fillId="0" borderId="97" xfId="0" applyNumberFormat="1" applyBorder="1"/>
    <xf numFmtId="0" fontId="0" fillId="0" borderId="51" xfId="0" applyBorder="1" applyAlignment="1">
      <alignment horizontal="center" vertical="center" wrapText="1"/>
    </xf>
    <xf numFmtId="0" fontId="0" fillId="0" borderId="51" xfId="0" applyBorder="1" applyAlignment="1">
      <alignment horizontal="center" wrapText="1"/>
    </xf>
    <xf numFmtId="168" fontId="1" fillId="0" borderId="0" xfId="34" applyNumberFormat="1"/>
    <xf numFmtId="0" fontId="36" fillId="0" borderId="51" xfId="0" applyFont="1" applyBorder="1" applyAlignment="1">
      <alignment horizontal="left" vertical="center"/>
    </xf>
    <xf numFmtId="0" fontId="35" fillId="0" borderId="51" xfId="0" applyFont="1" applyBorder="1" applyAlignment="1">
      <alignment horizontal="center" vertical="center"/>
    </xf>
    <xf numFmtId="4" fontId="35" fillId="0" borderId="51" xfId="36" applyNumberFormat="1" applyFont="1" applyFill="1" applyBorder="1" applyAlignment="1" applyProtection="1">
      <alignment horizontal="center" vertical="center"/>
    </xf>
    <xf numFmtId="164" fontId="36" fillId="0" borderId="51" xfId="31" applyFont="1" applyFill="1" applyBorder="1" applyAlignment="1" applyProtection="1">
      <alignment horizontal="right" vertical="center"/>
    </xf>
    <xf numFmtId="164" fontId="36" fillId="0" borderId="57" xfId="31" applyFont="1" applyFill="1" applyBorder="1" applyAlignment="1" applyProtection="1">
      <alignment horizontal="right" vertical="center"/>
    </xf>
    <xf numFmtId="0" fontId="43" fillId="0" borderId="51" xfId="46" applyFont="1" applyFill="1" applyBorder="1" applyAlignment="1">
      <alignment horizontal="left" vertical="center" wrapText="1"/>
    </xf>
    <xf numFmtId="0" fontId="44" fillId="0" borderId="51" xfId="0" applyFont="1" applyBorder="1" applyAlignment="1">
      <alignment horizontal="center" vertical="center"/>
    </xf>
    <xf numFmtId="0" fontId="35" fillId="0" borderId="52" xfId="47" applyFont="1" applyFill="1" applyBorder="1" applyAlignment="1">
      <alignment vertical="center"/>
    </xf>
    <xf numFmtId="10" fontId="44" fillId="0" borderId="58" xfId="34" applyNumberFormat="1" applyFont="1" applyBorder="1" applyAlignment="1">
      <alignment horizontal="center" vertical="center"/>
    </xf>
    <xf numFmtId="0" fontId="35" fillId="0" borderId="51" xfId="47" applyFont="1" applyFill="1" applyBorder="1" applyAlignment="1">
      <alignment vertical="center"/>
    </xf>
    <xf numFmtId="4" fontId="36" fillId="25" borderId="51" xfId="0" applyNumberFormat="1" applyFont="1" applyFill="1" applyBorder="1" applyAlignment="1"/>
    <xf numFmtId="4" fontId="36" fillId="25" borderId="51" xfId="0" applyNumberFormat="1" applyFont="1" applyFill="1" applyBorder="1" applyAlignment="1">
      <alignment horizontal="center"/>
    </xf>
    <xf numFmtId="0" fontId="35" fillId="0" borderId="35" xfId="48" applyFont="1" applyBorder="1" applyAlignment="1">
      <alignment vertical="center"/>
    </xf>
    <xf numFmtId="10" fontId="44" fillId="0" borderId="58" xfId="34" applyNumberFormat="1" applyFont="1" applyFill="1" applyBorder="1" applyAlignment="1">
      <alignment horizontal="center" vertical="center"/>
    </xf>
    <xf numFmtId="2" fontId="42" fillId="0" borderId="51" xfId="0" applyNumberFormat="1" applyFont="1" applyBorder="1"/>
    <xf numFmtId="2" fontId="42" fillId="0" borderId="51" xfId="0" applyNumberFormat="1" applyFont="1" applyBorder="1" applyAlignment="1">
      <alignment horizontal="right" vertical="center" wrapText="1"/>
    </xf>
    <xf numFmtId="0" fontId="45" fillId="16" borderId="53" xfId="0" applyFont="1" applyFill="1" applyBorder="1" applyAlignment="1">
      <alignment horizontal="center" vertical="center"/>
    </xf>
    <xf numFmtId="0" fontId="45" fillId="16" borderId="10" xfId="0" applyFont="1" applyFill="1" applyBorder="1" applyAlignment="1">
      <alignment horizontal="center" vertical="center"/>
    </xf>
    <xf numFmtId="0" fontId="45" fillId="26" borderId="33" xfId="0" applyFont="1" applyFill="1" applyBorder="1" applyAlignment="1">
      <alignment vertical="center"/>
    </xf>
    <xf numFmtId="0" fontId="46" fillId="27" borderId="64" xfId="0" quotePrefix="1" applyFont="1" applyFill="1" applyBorder="1" applyAlignment="1">
      <alignment vertical="center"/>
    </xf>
    <xf numFmtId="0" fontId="46" fillId="27" borderId="65" xfId="0" applyFont="1" applyFill="1" applyBorder="1" applyAlignment="1">
      <alignment vertical="center"/>
    </xf>
    <xf numFmtId="0" fontId="46" fillId="27" borderId="66" xfId="0" applyFont="1" applyFill="1" applyBorder="1" applyAlignment="1">
      <alignment vertical="center"/>
    </xf>
    <xf numFmtId="164" fontId="45" fillId="16" borderId="33" xfId="31" applyFont="1" applyFill="1" applyBorder="1" applyAlignment="1" applyProtection="1">
      <alignment horizontal="right" vertical="center"/>
    </xf>
    <xf numFmtId="164" fontId="45" fillId="16" borderId="34" xfId="31" applyFont="1" applyFill="1" applyBorder="1" applyAlignment="1" applyProtection="1">
      <alignment horizontal="right" vertical="center"/>
    </xf>
    <xf numFmtId="0" fontId="47" fillId="0" borderId="5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left" vertical="center" wrapText="1"/>
    </xf>
    <xf numFmtId="0" fontId="45" fillId="0" borderId="67" xfId="0" applyFont="1" applyBorder="1" applyAlignment="1">
      <alignment horizontal="center" vertical="center"/>
    </xf>
    <xf numFmtId="4" fontId="45" fillId="0" borderId="10" xfId="36" applyNumberFormat="1" applyFont="1" applyFill="1" applyBorder="1" applyAlignment="1" applyProtection="1">
      <alignment horizontal="center" vertical="center"/>
    </xf>
    <xf numFmtId="164" fontId="45" fillId="0" borderId="32" xfId="31" applyFont="1" applyFill="1" applyBorder="1" applyAlignment="1" applyProtection="1">
      <alignment horizontal="right" vertical="center"/>
    </xf>
    <xf numFmtId="164" fontId="45" fillId="0" borderId="68" xfId="31" applyFont="1" applyFill="1" applyBorder="1" applyAlignment="1" applyProtection="1">
      <alignment horizontal="right" vertical="center"/>
    </xf>
    <xf numFmtId="164" fontId="47" fillId="0" borderId="33" xfId="31" applyNumberFormat="1" applyFont="1" applyFill="1" applyBorder="1" applyAlignment="1" applyProtection="1">
      <alignment horizontal="right" vertical="center"/>
    </xf>
    <xf numFmtId="164" fontId="47" fillId="0" borderId="34" xfId="31" applyNumberFormat="1" applyFont="1" applyFill="1" applyBorder="1" applyAlignment="1" applyProtection="1">
      <alignment horizontal="right" vertical="center"/>
    </xf>
    <xf numFmtId="0" fontId="45" fillId="16" borderId="33" xfId="0" applyFont="1" applyFill="1" applyBorder="1" applyAlignment="1">
      <alignment vertical="center"/>
    </xf>
    <xf numFmtId="0" fontId="46" fillId="27" borderId="69" xfId="0" applyFont="1" applyFill="1" applyBorder="1" applyAlignment="1">
      <alignment vertical="center"/>
    </xf>
    <xf numFmtId="0" fontId="46" fillId="27" borderId="19" xfId="0" applyFont="1" applyFill="1" applyBorder="1" applyAlignment="1">
      <alignment vertical="center"/>
    </xf>
    <xf numFmtId="0" fontId="46" fillId="27" borderId="70" xfId="0" applyFont="1" applyFill="1" applyBorder="1" applyAlignment="1">
      <alignment vertical="center"/>
    </xf>
    <xf numFmtId="0" fontId="47" fillId="0" borderId="5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left" vertical="center" wrapText="1"/>
    </xf>
    <xf numFmtId="0" fontId="45" fillId="0" borderId="71" xfId="0" applyFont="1" applyBorder="1" applyAlignment="1">
      <alignment horizontal="center" vertical="center"/>
    </xf>
    <xf numFmtId="4" fontId="45" fillId="0" borderId="72" xfId="36" applyNumberFormat="1" applyFont="1" applyFill="1" applyBorder="1" applyAlignment="1" applyProtection="1">
      <alignment horizontal="center" vertical="center"/>
    </xf>
    <xf numFmtId="164" fontId="45" fillId="0" borderId="73" xfId="31" applyFont="1" applyFill="1" applyBorder="1" applyAlignment="1" applyProtection="1">
      <alignment horizontal="right" vertical="center"/>
    </xf>
    <xf numFmtId="164" fontId="45" fillId="0" borderId="74" xfId="31" applyFont="1" applyFill="1" applyBorder="1" applyAlignment="1" applyProtection="1">
      <alignment horizontal="right" vertical="center"/>
    </xf>
    <xf numFmtId="164" fontId="47" fillId="0" borderId="0" xfId="31" applyNumberFormat="1" applyFont="1" applyFill="1" applyBorder="1" applyAlignment="1" applyProtection="1">
      <alignment horizontal="right" vertical="center"/>
    </xf>
    <xf numFmtId="164" fontId="47" fillId="0" borderId="55" xfId="31" applyNumberFormat="1" applyFont="1" applyFill="1" applyBorder="1" applyAlignment="1" applyProtection="1">
      <alignment horizontal="right" vertical="center"/>
    </xf>
    <xf numFmtId="0" fontId="19" fillId="0" borderId="0" xfId="0" applyFont="1"/>
    <xf numFmtId="0" fontId="19" fillId="0" borderId="0" xfId="0" applyFont="1" applyAlignment="1">
      <alignment vertical="center"/>
    </xf>
    <xf numFmtId="4" fontId="21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14" fontId="23" fillId="0" borderId="49" xfId="0" applyNumberFormat="1" applyFont="1" applyFill="1" applyBorder="1" applyAlignment="1">
      <alignment horizontal="left"/>
    </xf>
    <xf numFmtId="14" fontId="23" fillId="0" borderId="50" xfId="0" applyNumberFormat="1" applyFont="1" applyFill="1" applyBorder="1" applyAlignment="1">
      <alignment horizontal="left"/>
    </xf>
    <xf numFmtId="4" fontId="23" fillId="0" borderId="0" xfId="0" applyNumberFormat="1" applyFont="1" applyBorder="1" applyAlignment="1">
      <alignment horizontal="center"/>
    </xf>
    <xf numFmtId="4" fontId="23" fillId="0" borderId="46" xfId="0" applyNumberFormat="1" applyFont="1" applyBorder="1" applyAlignment="1">
      <alignment horizontal="center"/>
    </xf>
    <xf numFmtId="4" fontId="23" fillId="0" borderId="45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4" fontId="23" fillId="0" borderId="4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0" fontId="23" fillId="0" borderId="46" xfId="0" applyFont="1" applyBorder="1" applyAlignment="1">
      <alignment horizontal="left" wrapText="1"/>
    </xf>
    <xf numFmtId="4" fontId="35" fillId="0" borderId="0" xfId="0" applyNumberFormat="1" applyFont="1" applyFill="1" applyBorder="1" applyAlignment="1">
      <alignment horizontal="left"/>
    </xf>
    <xf numFmtId="4" fontId="35" fillId="0" borderId="46" xfId="0" applyNumberFormat="1" applyFont="1" applyFill="1" applyBorder="1" applyAlignment="1">
      <alignment horizontal="left"/>
    </xf>
    <xf numFmtId="4" fontId="35" fillId="0" borderId="47" xfId="0" applyNumberFormat="1" applyFont="1" applyBorder="1" applyAlignment="1">
      <alignment horizontal="left"/>
    </xf>
    <xf numFmtId="4" fontId="35" fillId="0" borderId="48" xfId="0" applyNumberFormat="1" applyFont="1" applyBorder="1" applyAlignment="1">
      <alignment horizontal="left"/>
    </xf>
    <xf numFmtId="4" fontId="23" fillId="0" borderId="39" xfId="0" applyNumberFormat="1" applyFont="1" applyBorder="1" applyAlignment="1">
      <alignment horizontal="center" vertical="center"/>
    </xf>
    <xf numFmtId="4" fontId="23" fillId="0" borderId="40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right" vertical="top"/>
    </xf>
    <xf numFmtId="4" fontId="23" fillId="0" borderId="0" xfId="0" applyNumberFormat="1" applyFont="1" applyBorder="1" applyAlignment="1">
      <alignment horizontal="left" vertical="center"/>
    </xf>
    <xf numFmtId="4" fontId="23" fillId="0" borderId="46" xfId="0" applyNumberFormat="1" applyFont="1" applyBorder="1" applyAlignment="1">
      <alignment horizontal="left" vertical="center"/>
    </xf>
    <xf numFmtId="4" fontId="23" fillId="0" borderId="45" xfId="0" applyNumberFormat="1" applyFont="1" applyBorder="1" applyAlignment="1">
      <alignment horizontal="center"/>
    </xf>
    <xf numFmtId="2" fontId="28" fillId="0" borderId="85" xfId="0" applyNumberFormat="1" applyFont="1" applyBorder="1" applyAlignment="1" applyProtection="1">
      <alignment horizontal="center" vertical="center"/>
    </xf>
    <xf numFmtId="2" fontId="28" fillId="0" borderId="26" xfId="0" applyNumberFormat="1" applyFont="1" applyBorder="1" applyAlignment="1" applyProtection="1">
      <alignment horizontal="center" vertical="center"/>
    </xf>
    <xf numFmtId="2" fontId="28" fillId="0" borderId="27" xfId="0" applyNumberFormat="1" applyFont="1" applyBorder="1" applyAlignment="1" applyProtection="1">
      <alignment horizontal="center" vertical="center"/>
    </xf>
    <xf numFmtId="2" fontId="28" fillId="0" borderId="86" xfId="0" applyNumberFormat="1" applyFont="1" applyBorder="1" applyAlignment="1" applyProtection="1">
      <alignment horizontal="center" vertical="center"/>
    </xf>
    <xf numFmtId="2" fontId="28" fillId="0" borderId="14" xfId="0" applyNumberFormat="1" applyFont="1" applyBorder="1" applyAlignment="1" applyProtection="1">
      <alignment horizontal="center" vertical="center"/>
    </xf>
    <xf numFmtId="2" fontId="28" fillId="0" borderId="20" xfId="0" applyNumberFormat="1" applyFont="1" applyBorder="1" applyAlignment="1" applyProtection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27" fillId="0" borderId="31" xfId="0" applyFont="1" applyBorder="1" applyAlignment="1">
      <alignment horizontal="center" wrapText="1"/>
    </xf>
    <xf numFmtId="0" fontId="27" fillId="0" borderId="80" xfId="0" applyFont="1" applyBorder="1" applyAlignment="1">
      <alignment horizontal="center" wrapText="1"/>
    </xf>
    <xf numFmtId="0" fontId="26" fillId="0" borderId="79" xfId="0" applyFont="1" applyBorder="1" applyAlignment="1" applyProtection="1">
      <alignment vertical="center"/>
      <protection locked="0"/>
    </xf>
    <xf numFmtId="0" fontId="26" fillId="0" borderId="30" xfId="0" applyFont="1" applyBorder="1" applyAlignment="1" applyProtection="1">
      <alignment vertical="center"/>
      <protection locked="0"/>
    </xf>
    <xf numFmtId="0" fontId="26" fillId="0" borderId="81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2" fontId="27" fillId="16" borderId="91" xfId="0" applyNumberFormat="1" applyFont="1" applyFill="1" applyBorder="1" applyAlignment="1" applyProtection="1">
      <alignment horizontal="center" vertical="center"/>
    </xf>
    <xf numFmtId="2" fontId="27" fillId="16" borderId="96" xfId="0" applyNumberFormat="1" applyFont="1" applyFill="1" applyBorder="1" applyAlignment="1" applyProtection="1">
      <alignment horizontal="center" vertical="center"/>
    </xf>
    <xf numFmtId="2" fontId="27" fillId="0" borderId="92" xfId="0" applyNumberFormat="1" applyFont="1" applyBorder="1" applyAlignment="1" applyProtection="1">
      <alignment horizontal="left" vertical="center"/>
    </xf>
    <xf numFmtId="2" fontId="27" fillId="0" borderId="93" xfId="0" applyNumberFormat="1" applyFont="1" applyBorder="1" applyAlignment="1" applyProtection="1">
      <alignment horizontal="left" vertical="center"/>
    </xf>
    <xf numFmtId="4" fontId="30" fillId="25" borderId="95" xfId="0" applyNumberFormat="1" applyFont="1" applyFill="1" applyBorder="1" applyAlignment="1" applyProtection="1">
      <alignment horizontal="center" vertical="center"/>
    </xf>
    <xf numFmtId="1" fontId="27" fillId="25" borderId="90" xfId="0" applyNumberFormat="1" applyFont="1" applyFill="1" applyBorder="1" applyAlignment="1" applyProtection="1">
      <alignment horizontal="left" vertical="center"/>
    </xf>
    <xf numFmtId="1" fontId="27" fillId="25" borderId="12" xfId="0" applyNumberFormat="1" applyFont="1" applyFill="1" applyBorder="1" applyAlignment="1" applyProtection="1">
      <alignment horizontal="left" vertical="center"/>
    </xf>
    <xf numFmtId="4" fontId="27" fillId="25" borderId="11" xfId="0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>
      <alignment horizontal="center" vertical="top"/>
    </xf>
    <xf numFmtId="0" fontId="36" fillId="0" borderId="0" xfId="0" applyFont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1" fontId="27" fillId="0" borderId="88" xfId="0" applyNumberFormat="1" applyFont="1" applyBorder="1" applyAlignment="1" applyProtection="1">
      <alignment horizontal="center" vertical="center" wrapText="1"/>
    </xf>
    <xf numFmtId="1" fontId="27" fillId="0" borderId="53" xfId="0" applyNumberFormat="1" applyFont="1" applyBorder="1" applyAlignment="1" applyProtection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4" fontId="30" fillId="25" borderId="11" xfId="0" applyNumberFormat="1" applyFont="1" applyFill="1" applyBorder="1" applyAlignment="1">
      <alignment horizontal="right" vertical="center"/>
    </xf>
    <xf numFmtId="2" fontId="30" fillId="0" borderId="89" xfId="0" applyNumberFormat="1" applyFont="1" applyBorder="1" applyAlignment="1" applyProtection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top"/>
    </xf>
    <xf numFmtId="0" fontId="20" fillId="0" borderId="0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2" fontId="27" fillId="0" borderId="83" xfId="0" applyNumberFormat="1" applyFont="1" applyBorder="1" applyAlignment="1" applyProtection="1">
      <alignment horizontal="center"/>
    </xf>
    <xf numFmtId="2" fontId="27" fillId="0" borderId="24" xfId="0" applyNumberFormat="1" applyFont="1" applyBorder="1" applyAlignment="1" applyProtection="1">
      <alignment horizontal="center"/>
    </xf>
    <xf numFmtId="2" fontId="27" fillId="0" borderId="84" xfId="0" applyNumberFormat="1" applyFont="1" applyBorder="1" applyAlignment="1" applyProtection="1">
      <alignment horizontal="center"/>
    </xf>
    <xf numFmtId="2" fontId="28" fillId="0" borderId="76" xfId="0" applyNumberFormat="1" applyFont="1" applyBorder="1" applyAlignment="1">
      <alignment horizontal="center" vertical="center"/>
    </xf>
    <xf numFmtId="2" fontId="28" fillId="0" borderId="25" xfId="0" applyNumberFormat="1" applyFont="1" applyBorder="1" applyAlignment="1">
      <alignment horizontal="center" vertical="center"/>
    </xf>
    <xf numFmtId="2" fontId="28" fillId="0" borderId="77" xfId="0" applyNumberFormat="1" applyFont="1" applyBorder="1" applyAlignment="1">
      <alignment horizontal="center" vertical="center"/>
    </xf>
    <xf numFmtId="2" fontId="28" fillId="0" borderId="22" xfId="0" applyNumberFormat="1" applyFont="1" applyBorder="1" applyAlignment="1" applyProtection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6" fillId="0" borderId="36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19" fillId="0" borderId="29" xfId="0" applyFont="1" applyBorder="1" applyAlignment="1">
      <alignment horizontal="left" vertical="center"/>
    </xf>
    <xf numFmtId="0" fontId="26" fillId="0" borderId="79" xfId="0" applyFont="1" applyBorder="1" applyAlignment="1">
      <alignment vertical="center"/>
    </xf>
    <xf numFmtId="0" fontId="26" fillId="0" borderId="30" xfId="0" applyFont="1" applyBorder="1" applyAlignment="1">
      <alignment vertical="center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Neutra" xfId="32" builtinId="28" customBuiltin="1"/>
    <cellStyle name="Normal" xfId="0" builtinId="0"/>
    <cellStyle name="Normal 4" xfId="47"/>
    <cellStyle name="Normal 5" xfId="48"/>
    <cellStyle name="Normal_Plan1 2" xfId="46"/>
    <cellStyle name="Nota" xfId="33" builtinId="10" customBuiltin="1"/>
    <cellStyle name="Porcentagem" xfId="34" builtinId="5"/>
    <cellStyle name="Saída" xfId="35" builtinId="21" customBuiltin="1"/>
    <cellStyle name="Texto de Aviso" xfId="37" builtinId="11" customBuiltin="1"/>
    <cellStyle name="Texto Explicativo" xfId="38" builtinId="53" customBuiltin="1"/>
    <cellStyle name="Título 1" xfId="39" builtinId="16" customBuiltin="1"/>
    <cellStyle name="Título 1 1" xfId="40"/>
    <cellStyle name="Título 1 1 1" xfId="41"/>
    <cellStyle name="Título 2" xfId="42" builtinId="17" customBuiltin="1"/>
    <cellStyle name="Título 3" xfId="43" builtinId="18" customBuiltin="1"/>
    <cellStyle name="Título 4" xfId="44" builtinId="19" customBuiltin="1"/>
    <cellStyle name="Total" xfId="45" builtinId="25" customBuiltin="1"/>
    <cellStyle name="Vírgula" xfId="3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368753</xdr:colOff>
      <xdr:row>0</xdr:row>
      <xdr:rowOff>156028</xdr:rowOff>
    </xdr:from>
    <xdr:to>
      <xdr:col>2</xdr:col>
      <xdr:colOff>28121</xdr:colOff>
      <xdr:row>6</xdr:row>
      <xdr:rowOff>3401</xdr:rowOff>
    </xdr:to>
    <xdr:pic>
      <xdr:nvPicPr>
        <xdr:cNvPr id="4108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753" y="156028"/>
          <a:ext cx="1251404" cy="1276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295276</xdr:colOff>
      <xdr:row>5</xdr:row>
      <xdr:rowOff>28575</xdr:rowOff>
    </xdr:to>
    <xdr:pic>
      <xdr:nvPicPr>
        <xdr:cNvPr id="5129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790576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view="pageBreakPreview" zoomScale="80" zoomScaleNormal="75" zoomScaleSheetLayoutView="80" workbookViewId="0">
      <selection activeCell="C6" sqref="C6:I6"/>
    </sheetView>
  </sheetViews>
  <sheetFormatPr defaultRowHeight="12.75" x14ac:dyDescent="0.2"/>
  <cols>
    <col min="1" max="1" width="10.7109375" customWidth="1"/>
    <col min="2" max="2" width="13" customWidth="1"/>
    <col min="3" max="3" width="116.42578125" customWidth="1"/>
    <col min="4" max="4" width="10.42578125" customWidth="1"/>
    <col min="5" max="5" width="13.85546875" style="1" customWidth="1"/>
    <col min="6" max="6" width="14.5703125" style="2" bestFit="1" customWidth="1"/>
    <col min="7" max="7" width="17" style="2" customWidth="1"/>
    <col min="8" max="8" width="19.5703125" style="2" bestFit="1" customWidth="1"/>
    <col min="9" max="9" width="20.85546875" style="2" customWidth="1"/>
    <col min="10" max="10" width="3.42578125" customWidth="1"/>
    <col min="11" max="11" width="15.28515625" customWidth="1"/>
    <col min="13" max="13" width="18" bestFit="1" customWidth="1"/>
  </cols>
  <sheetData>
    <row r="1" spans="1:13" ht="15" x14ac:dyDescent="0.2">
      <c r="A1" s="35"/>
      <c r="B1" s="36"/>
      <c r="C1" s="36"/>
      <c r="D1" s="36"/>
      <c r="E1" s="37"/>
      <c r="F1" s="38"/>
      <c r="G1" s="38"/>
      <c r="H1" s="38"/>
      <c r="I1" s="39"/>
    </row>
    <row r="2" spans="1:13" ht="15.75" x14ac:dyDescent="0.25">
      <c r="A2" s="40"/>
      <c r="B2" s="3"/>
      <c r="C2" s="165" t="s">
        <v>33</v>
      </c>
      <c r="D2" s="165"/>
      <c r="E2" s="165"/>
      <c r="F2" s="165"/>
      <c r="G2" s="165"/>
      <c r="H2" s="165"/>
      <c r="I2" s="166"/>
    </row>
    <row r="3" spans="1:13" ht="15" x14ac:dyDescent="0.2">
      <c r="A3" s="40"/>
      <c r="B3" s="3"/>
      <c r="C3" s="3"/>
      <c r="D3" s="3"/>
      <c r="E3" s="43"/>
      <c r="F3" s="41"/>
      <c r="G3" s="41"/>
      <c r="H3" s="41"/>
      <c r="I3" s="42"/>
    </row>
    <row r="4" spans="1:13" ht="15.75" x14ac:dyDescent="0.25">
      <c r="A4" s="181" t="s">
        <v>34</v>
      </c>
      <c r="B4" s="165"/>
      <c r="C4" s="165"/>
      <c r="D4" s="165"/>
      <c r="E4" s="165"/>
      <c r="F4" s="165"/>
      <c r="G4" s="165"/>
      <c r="H4" s="165"/>
      <c r="I4" s="166"/>
    </row>
    <row r="5" spans="1:13" ht="15.75" x14ac:dyDescent="0.2">
      <c r="A5" s="40"/>
      <c r="B5" s="3"/>
      <c r="C5" s="178"/>
      <c r="D5" s="178"/>
      <c r="E5" s="178"/>
      <c r="F5" s="41"/>
      <c r="G5" s="41"/>
      <c r="H5" s="41"/>
      <c r="I5" s="42"/>
    </row>
    <row r="6" spans="1:13" ht="33.75" customHeight="1" x14ac:dyDescent="0.2">
      <c r="A6" s="93"/>
      <c r="B6" s="92"/>
      <c r="C6" s="167" t="s">
        <v>119</v>
      </c>
      <c r="D6" s="168"/>
      <c r="E6" s="168"/>
      <c r="F6" s="168"/>
      <c r="G6" s="168"/>
      <c r="H6" s="168"/>
      <c r="I6" s="169"/>
    </row>
    <row r="7" spans="1:13" ht="25.9" customHeight="1" x14ac:dyDescent="0.25">
      <c r="A7" s="29" t="s">
        <v>50</v>
      </c>
      <c r="B7" s="22" t="s">
        <v>89</v>
      </c>
      <c r="C7" s="3"/>
      <c r="D7" s="179" t="s">
        <v>55</v>
      </c>
      <c r="E7" s="179"/>
      <c r="F7" s="179"/>
      <c r="G7" s="179"/>
      <c r="H7" s="179"/>
      <c r="I7" s="180"/>
    </row>
    <row r="8" spans="1:13" s="24" customFormat="1" ht="25.5" customHeight="1" x14ac:dyDescent="0.25">
      <c r="A8" s="30" t="s">
        <v>38</v>
      </c>
      <c r="B8" s="170" t="s">
        <v>90</v>
      </c>
      <c r="C8" s="170"/>
      <c r="D8" s="170"/>
      <c r="E8" s="170"/>
      <c r="F8" s="170"/>
      <c r="G8" s="170"/>
      <c r="H8" s="170"/>
      <c r="I8" s="171"/>
      <c r="K8" s="25"/>
    </row>
    <row r="9" spans="1:13" ht="25.9" customHeight="1" x14ac:dyDescent="0.25">
      <c r="A9" s="29" t="s">
        <v>35</v>
      </c>
      <c r="B9" s="22"/>
      <c r="C9" s="3"/>
      <c r="D9" s="172" t="s">
        <v>104</v>
      </c>
      <c r="E9" s="172"/>
      <c r="F9" s="172"/>
      <c r="G9" s="172"/>
      <c r="H9" s="172"/>
      <c r="I9" s="173"/>
      <c r="K9" s="4"/>
    </row>
    <row r="10" spans="1:13" ht="25.9" customHeight="1" thickBot="1" x14ac:dyDescent="0.3">
      <c r="A10" s="31" t="s">
        <v>109</v>
      </c>
      <c r="B10" s="32"/>
      <c r="C10" s="33"/>
      <c r="D10" s="174" t="s">
        <v>80</v>
      </c>
      <c r="E10" s="174"/>
      <c r="F10" s="174"/>
      <c r="G10" s="174"/>
      <c r="H10" s="174"/>
      <c r="I10" s="175"/>
    </row>
    <row r="11" spans="1:13" ht="24.75" customHeight="1" thickBot="1" x14ac:dyDescent="0.3">
      <c r="A11" s="26" t="s">
        <v>56</v>
      </c>
      <c r="B11" s="163" t="s">
        <v>108</v>
      </c>
      <c r="C11" s="164"/>
      <c r="D11" s="176"/>
      <c r="E11" s="177"/>
      <c r="F11" s="177"/>
      <c r="G11" s="82"/>
      <c r="H11" s="27"/>
      <c r="I11" s="28"/>
    </row>
    <row r="12" spans="1:13" ht="31.5" x14ac:dyDescent="0.25">
      <c r="A12" s="65" t="s">
        <v>0</v>
      </c>
      <c r="B12" s="44"/>
      <c r="C12" s="45" t="s">
        <v>41</v>
      </c>
      <c r="D12" s="47" t="s">
        <v>1</v>
      </c>
      <c r="E12" s="48" t="s">
        <v>2</v>
      </c>
      <c r="F12" s="89" t="s">
        <v>51</v>
      </c>
      <c r="G12" s="91" t="s">
        <v>52</v>
      </c>
      <c r="H12" s="90" t="s">
        <v>53</v>
      </c>
      <c r="I12" s="46" t="s">
        <v>54</v>
      </c>
    </row>
    <row r="13" spans="1:13" s="159" customFormat="1" ht="30" customHeight="1" x14ac:dyDescent="0.2">
      <c r="A13" s="129" t="s">
        <v>3</v>
      </c>
      <c r="B13" s="130" t="s">
        <v>114</v>
      </c>
      <c r="C13" s="131" t="s">
        <v>42</v>
      </c>
      <c r="D13" s="132"/>
      <c r="E13" s="133"/>
      <c r="F13" s="133"/>
      <c r="G13" s="134" t="s">
        <v>4</v>
      </c>
      <c r="H13" s="135">
        <f>H14</f>
        <v>852.6</v>
      </c>
      <c r="I13" s="136">
        <f>I14</f>
        <v>1051.92</v>
      </c>
    </row>
    <row r="14" spans="1:13" s="160" customFormat="1" ht="16.5" customHeight="1" x14ac:dyDescent="0.2">
      <c r="A14" s="137" t="s">
        <v>39</v>
      </c>
      <c r="B14" s="138" t="s">
        <v>105</v>
      </c>
      <c r="C14" s="139" t="s">
        <v>111</v>
      </c>
      <c r="D14" s="140" t="s">
        <v>32</v>
      </c>
      <c r="E14" s="141">
        <f>2*1.25</f>
        <v>2.5</v>
      </c>
      <c r="F14" s="142">
        <v>341.04</v>
      </c>
      <c r="G14" s="143">
        <f>F14*(1+$I$31)</f>
        <v>420.76439639210668</v>
      </c>
      <c r="H14" s="144">
        <f>ROUNDUP($E14*F14,2)</f>
        <v>852.6</v>
      </c>
      <c r="I14" s="145">
        <f>ROUNDUP($E14*G14,2)</f>
        <v>1051.92</v>
      </c>
      <c r="L14" s="160">
        <v>324.58999999999997</v>
      </c>
      <c r="M14" s="160">
        <f>E14*L14</f>
        <v>811.47499999999991</v>
      </c>
    </row>
    <row r="15" spans="1:13" s="160" customFormat="1" ht="32.1" customHeight="1" x14ac:dyDescent="0.2">
      <c r="A15" s="129" t="s">
        <v>40</v>
      </c>
      <c r="B15" s="130"/>
      <c r="C15" s="146" t="s">
        <v>43</v>
      </c>
      <c r="D15" s="147"/>
      <c r="E15" s="148"/>
      <c r="F15" s="148"/>
      <c r="G15" s="149" t="s">
        <v>4</v>
      </c>
      <c r="H15" s="135">
        <f>SUM(H16:H18)</f>
        <v>215671.53000000003</v>
      </c>
      <c r="I15" s="136">
        <f>SUM(I16:I18)</f>
        <v>266088.73000000004</v>
      </c>
      <c r="M15" s="160">
        <f t="shared" ref="M15:M21" si="0">E15*L15</f>
        <v>0</v>
      </c>
    </row>
    <row r="16" spans="1:13" s="160" customFormat="1" ht="15" x14ac:dyDescent="0.2">
      <c r="A16" s="137" t="s">
        <v>44</v>
      </c>
      <c r="B16" s="138">
        <v>72943</v>
      </c>
      <c r="C16" s="139" t="s">
        <v>112</v>
      </c>
      <c r="D16" s="140" t="s">
        <v>32</v>
      </c>
      <c r="E16" s="141">
        <f>Plan1!F9</f>
        <v>8642.6939999999995</v>
      </c>
      <c r="F16" s="142">
        <v>1.49</v>
      </c>
      <c r="G16" s="143">
        <f>F16*(1+$I$31)</f>
        <v>1.8383150088676954</v>
      </c>
      <c r="H16" s="144">
        <f t="shared" ref="H16:H18" si="1">ROUNDUP($E16*F16,2)</f>
        <v>12877.62</v>
      </c>
      <c r="I16" s="145">
        <f t="shared" ref="I16:I18" si="2">ROUNDUP($E16*G16,2)</f>
        <v>15888</v>
      </c>
      <c r="L16" s="160">
        <v>1.38</v>
      </c>
      <c r="M16" s="160">
        <f t="shared" si="0"/>
        <v>11926.917719999998</v>
      </c>
    </row>
    <row r="17" spans="1:13" s="160" customFormat="1" ht="28.5" x14ac:dyDescent="0.2">
      <c r="A17" s="137" t="s">
        <v>45</v>
      </c>
      <c r="B17" s="138">
        <v>95990</v>
      </c>
      <c r="C17" s="139" t="s">
        <v>113</v>
      </c>
      <c r="D17" s="140" t="s">
        <v>31</v>
      </c>
      <c r="E17" s="141">
        <f>E16*0.03</f>
        <v>259.28081999999995</v>
      </c>
      <c r="F17" s="142">
        <v>773.26</v>
      </c>
      <c r="G17" s="143">
        <f t="shared" ref="G17:G18" si="3">F17*(1+$I$31)</f>
        <v>954.02380117921757</v>
      </c>
      <c r="H17" s="144">
        <f t="shared" si="1"/>
        <v>200491.49000000002</v>
      </c>
      <c r="I17" s="145">
        <f>ROUNDUP($E17*G17,2)</f>
        <v>247360.08000000002</v>
      </c>
      <c r="L17" s="160">
        <v>753.99</v>
      </c>
      <c r="M17" s="160">
        <f t="shared" si="0"/>
        <v>195495.14547179997</v>
      </c>
    </row>
    <row r="18" spans="1:13" s="160" customFormat="1" ht="15" x14ac:dyDescent="0.2">
      <c r="A18" s="137" t="s">
        <v>46</v>
      </c>
      <c r="B18" s="138">
        <v>72843</v>
      </c>
      <c r="C18" s="139" t="s">
        <v>116</v>
      </c>
      <c r="D18" s="140" t="s">
        <v>115</v>
      </c>
      <c r="E18" s="141">
        <f>E17*2.4*5</f>
        <v>3111.3698399999994</v>
      </c>
      <c r="F18" s="142">
        <v>0.74</v>
      </c>
      <c r="G18" s="143">
        <f t="shared" si="3"/>
        <v>0.91298866212221119</v>
      </c>
      <c r="H18" s="144">
        <f t="shared" si="1"/>
        <v>2302.42</v>
      </c>
      <c r="I18" s="145">
        <f t="shared" si="2"/>
        <v>2840.65</v>
      </c>
      <c r="L18" s="160">
        <v>0.72</v>
      </c>
      <c r="M18" s="160">
        <f t="shared" si="0"/>
        <v>2240.1862847999996</v>
      </c>
    </row>
    <row r="19" spans="1:13" s="160" customFormat="1" ht="32.1" customHeight="1" x14ac:dyDescent="0.2">
      <c r="A19" s="129" t="s">
        <v>47</v>
      </c>
      <c r="B19" s="130"/>
      <c r="C19" s="146" t="s">
        <v>48</v>
      </c>
      <c r="D19" s="147"/>
      <c r="E19" s="148"/>
      <c r="F19" s="148"/>
      <c r="G19" s="149" t="s">
        <v>4</v>
      </c>
      <c r="H19" s="135">
        <f>SUM(H20:H21)</f>
        <v>10302.880000000001</v>
      </c>
      <c r="I19" s="136">
        <f>SUM(I20:I21)</f>
        <v>12711.369999999999</v>
      </c>
      <c r="M19" s="160">
        <f t="shared" si="0"/>
        <v>0</v>
      </c>
    </row>
    <row r="20" spans="1:13" s="160" customFormat="1" ht="28.5" x14ac:dyDescent="0.2">
      <c r="A20" s="137" t="s">
        <v>49</v>
      </c>
      <c r="B20" s="138">
        <v>72947</v>
      </c>
      <c r="C20" s="139" t="s">
        <v>106</v>
      </c>
      <c r="D20" s="140" t="s">
        <v>32</v>
      </c>
      <c r="E20" s="141">
        <v>229.37</v>
      </c>
      <c r="F20" s="142">
        <v>27.42</v>
      </c>
      <c r="G20" s="143">
        <f>F20*(1+$I$31)</f>
        <v>33.829931237014911</v>
      </c>
      <c r="H20" s="144">
        <f t="shared" ref="H20:H21" si="4">ROUNDUP($E20*F20,2)</f>
        <v>6289.33</v>
      </c>
      <c r="I20" s="145">
        <f t="shared" ref="I20:I21" si="5">ROUNDUP($E20*G20,2)</f>
        <v>7759.58</v>
      </c>
      <c r="L20" s="160">
        <v>27.22</v>
      </c>
      <c r="M20" s="160">
        <f t="shared" si="0"/>
        <v>6243.4513999999999</v>
      </c>
    </row>
    <row r="21" spans="1:13" s="159" customFormat="1" ht="15" x14ac:dyDescent="0.2">
      <c r="A21" s="150" t="s">
        <v>79</v>
      </c>
      <c r="B21" s="151">
        <v>34723</v>
      </c>
      <c r="C21" s="152" t="s">
        <v>107</v>
      </c>
      <c r="D21" s="153" t="s">
        <v>32</v>
      </c>
      <c r="E21" s="154">
        <f>9*0.78</f>
        <v>7.0200000000000005</v>
      </c>
      <c r="F21" s="155">
        <v>571.73</v>
      </c>
      <c r="G21" s="156">
        <f>F21*(1+$I$31)</f>
        <v>705.38244296639436</v>
      </c>
      <c r="H21" s="157">
        <f t="shared" si="4"/>
        <v>4013.55</v>
      </c>
      <c r="I21" s="158">
        <f t="shared" si="5"/>
        <v>4951.79</v>
      </c>
      <c r="L21" s="159">
        <v>548.63</v>
      </c>
      <c r="M21" s="160">
        <f t="shared" si="0"/>
        <v>3851.3826000000004</v>
      </c>
    </row>
    <row r="22" spans="1:13" ht="32.1" customHeight="1" x14ac:dyDescent="0.2">
      <c r="A22" s="66"/>
      <c r="B22" s="49"/>
      <c r="C22" s="113"/>
      <c r="D22" s="114"/>
      <c r="E22" s="115"/>
      <c r="F22" s="115"/>
      <c r="G22" s="115"/>
      <c r="H22" s="116"/>
      <c r="I22" s="117"/>
    </row>
    <row r="23" spans="1:13" ht="15.75" x14ac:dyDescent="0.2">
      <c r="A23" s="66"/>
      <c r="B23" s="49"/>
      <c r="C23" s="118" t="s">
        <v>57</v>
      </c>
      <c r="D23" s="119"/>
      <c r="E23" s="119"/>
      <c r="F23" s="119"/>
      <c r="G23" s="119"/>
      <c r="H23" s="116"/>
      <c r="I23" s="117"/>
    </row>
    <row r="24" spans="1:13" ht="15.75" x14ac:dyDescent="0.2">
      <c r="A24" s="66"/>
      <c r="B24" s="49"/>
      <c r="C24" s="120" t="s">
        <v>94</v>
      </c>
      <c r="D24" s="119"/>
      <c r="E24" s="119"/>
      <c r="F24" s="119"/>
      <c r="G24" s="51"/>
      <c r="H24" s="116"/>
      <c r="I24" s="121">
        <v>3.7999999999999999E-2</v>
      </c>
    </row>
    <row r="25" spans="1:13" ht="15.75" x14ac:dyDescent="0.2">
      <c r="A25" s="66"/>
      <c r="B25" s="49"/>
      <c r="C25" s="122" t="s">
        <v>95</v>
      </c>
      <c r="D25" s="119"/>
      <c r="E25" s="119"/>
      <c r="F25" s="119"/>
      <c r="G25" s="51"/>
      <c r="H25" s="116"/>
      <c r="I25" s="121">
        <v>3.2000000000000002E-3</v>
      </c>
    </row>
    <row r="26" spans="1:13" ht="15.75" x14ac:dyDescent="0.2">
      <c r="A26" s="66"/>
      <c r="B26" s="49"/>
      <c r="C26" s="122" t="s">
        <v>96</v>
      </c>
      <c r="D26" s="119"/>
      <c r="E26" s="119"/>
      <c r="F26" s="119"/>
      <c r="G26" s="51"/>
      <c r="H26" s="116"/>
      <c r="I26" s="121">
        <v>5.0000000000000001E-3</v>
      </c>
    </row>
    <row r="27" spans="1:13" ht="15.75" x14ac:dyDescent="0.2">
      <c r="A27" s="66"/>
      <c r="B27" s="49"/>
      <c r="C27" s="122" t="s">
        <v>97</v>
      </c>
      <c r="D27" s="119"/>
      <c r="E27" s="119"/>
      <c r="F27" s="119"/>
      <c r="G27" s="51"/>
      <c r="H27" s="116"/>
      <c r="I27" s="121">
        <v>1.0200000000000001E-2</v>
      </c>
    </row>
    <row r="28" spans="1:13" ht="15.75" x14ac:dyDescent="0.2">
      <c r="A28" s="67"/>
      <c r="B28" s="52"/>
      <c r="C28" s="122" t="s">
        <v>98</v>
      </c>
      <c r="D28" s="119"/>
      <c r="E28" s="119"/>
      <c r="F28" s="119"/>
      <c r="G28" s="51"/>
      <c r="H28" s="123"/>
      <c r="I28" s="121">
        <v>6.6400000000000001E-2</v>
      </c>
    </row>
    <row r="29" spans="1:13" ht="15.75" x14ac:dyDescent="0.2">
      <c r="A29" s="67"/>
      <c r="B29" s="52"/>
      <c r="C29" s="122" t="s">
        <v>99</v>
      </c>
      <c r="D29" s="119"/>
      <c r="E29" s="119"/>
      <c r="F29" s="119"/>
      <c r="G29" s="51"/>
      <c r="H29" s="124"/>
      <c r="I29" s="121">
        <v>3.6499999999999998E-2</v>
      </c>
    </row>
    <row r="30" spans="1:13" ht="15.75" x14ac:dyDescent="0.2">
      <c r="A30" s="67"/>
      <c r="B30" s="52"/>
      <c r="C30" s="122" t="s">
        <v>100</v>
      </c>
      <c r="D30" s="119"/>
      <c r="E30" s="119"/>
      <c r="F30" s="119"/>
      <c r="G30" s="51"/>
      <c r="H30" s="124"/>
      <c r="I30" s="121">
        <v>0.05</v>
      </c>
    </row>
    <row r="31" spans="1:13" ht="15.75" x14ac:dyDescent="0.2">
      <c r="A31" s="67"/>
      <c r="B31" s="52"/>
      <c r="C31" s="125" t="s">
        <v>64</v>
      </c>
      <c r="D31" s="119"/>
      <c r="E31" s="119"/>
      <c r="F31" s="119"/>
      <c r="G31" s="51"/>
      <c r="H31" s="124"/>
      <c r="I31" s="126">
        <f>((1+I24+I25+I26)*(1+I27)*(1+I28)/(1-I29-I30))-1</f>
        <v>0.23376846232731241</v>
      </c>
    </row>
    <row r="32" spans="1:13" ht="15.75" x14ac:dyDescent="0.2">
      <c r="A32" s="67"/>
      <c r="B32" s="52"/>
      <c r="C32" s="54"/>
      <c r="D32" s="50"/>
      <c r="E32" s="50"/>
      <c r="F32" s="50"/>
      <c r="G32" s="51"/>
      <c r="H32" s="53"/>
      <c r="I32" s="68"/>
    </row>
    <row r="33" spans="1:14" ht="15.75" x14ac:dyDescent="0.25">
      <c r="A33" s="67"/>
      <c r="B33" s="52"/>
      <c r="C33" s="54"/>
      <c r="D33" s="50"/>
      <c r="E33" s="50"/>
      <c r="F33" s="50"/>
      <c r="G33" s="55" t="s">
        <v>58</v>
      </c>
      <c r="H33" s="56">
        <f>SUM(H13:H21)/2</f>
        <v>226827.01000000004</v>
      </c>
      <c r="I33" s="69"/>
    </row>
    <row r="34" spans="1:14" ht="15.75" x14ac:dyDescent="0.25">
      <c r="A34" s="67"/>
      <c r="B34" s="52"/>
      <c r="C34" s="54"/>
      <c r="D34" s="50"/>
      <c r="E34" s="50"/>
      <c r="F34" s="50"/>
      <c r="G34" s="55" t="s">
        <v>59</v>
      </c>
      <c r="H34" s="57"/>
      <c r="I34" s="70">
        <f>SUM(I13:I21)/2</f>
        <v>279852.02000000008</v>
      </c>
      <c r="M34" s="70">
        <f>SUM(M14:M22)</f>
        <v>220568.55847659998</v>
      </c>
    </row>
    <row r="35" spans="1:14" ht="15.75" x14ac:dyDescent="0.25">
      <c r="A35" s="67"/>
      <c r="B35" s="52"/>
      <c r="C35" s="54"/>
      <c r="D35" s="50"/>
      <c r="E35" s="50"/>
      <c r="F35" s="50"/>
      <c r="G35" s="55"/>
      <c r="H35" s="57"/>
      <c r="I35" s="70"/>
    </row>
    <row r="36" spans="1:14" ht="15.75" x14ac:dyDescent="0.25">
      <c r="A36" s="67"/>
      <c r="B36" s="52"/>
      <c r="C36" s="54"/>
      <c r="D36" s="50"/>
      <c r="E36" s="50"/>
      <c r="F36" s="50"/>
      <c r="G36" s="55" t="s">
        <v>60</v>
      </c>
      <c r="H36" s="57"/>
      <c r="I36" s="70">
        <v>245850</v>
      </c>
      <c r="M36" s="70">
        <f>M34*(1+M39)</f>
        <v>286230.5587542674</v>
      </c>
      <c r="N36" t="s">
        <v>91</v>
      </c>
    </row>
    <row r="37" spans="1:14" ht="24.95" customHeight="1" thickBot="1" x14ac:dyDescent="0.3">
      <c r="A37" s="71"/>
      <c r="B37" s="72"/>
      <c r="C37" s="73"/>
      <c r="D37" s="74"/>
      <c r="E37" s="74"/>
      <c r="F37" s="74"/>
      <c r="G37" s="75" t="s">
        <v>61</v>
      </c>
      <c r="H37" s="76"/>
      <c r="I37" s="77">
        <f>I34-I36</f>
        <v>34002.020000000077</v>
      </c>
      <c r="K37" s="5"/>
      <c r="M37" s="112"/>
    </row>
    <row r="38" spans="1:14" ht="40.5" customHeight="1" x14ac:dyDescent="0.25">
      <c r="A38" s="58"/>
      <c r="B38" s="58"/>
      <c r="C38" s="78" t="s">
        <v>110</v>
      </c>
      <c r="D38" s="59"/>
      <c r="E38" s="59"/>
      <c r="F38" s="59"/>
      <c r="G38" s="60"/>
      <c r="H38" s="61"/>
      <c r="I38" s="61"/>
      <c r="K38" s="5"/>
    </row>
    <row r="39" spans="1:14" ht="36.75" customHeight="1" x14ac:dyDescent="0.25">
      <c r="A39" s="58"/>
      <c r="B39" s="58"/>
      <c r="C39" s="79" t="s">
        <v>63</v>
      </c>
      <c r="D39" s="161" t="s">
        <v>63</v>
      </c>
      <c r="E39" s="161"/>
      <c r="F39" s="161"/>
      <c r="G39" s="161"/>
      <c r="H39" s="161"/>
      <c r="I39" s="161"/>
      <c r="K39" s="5"/>
      <c r="M39">
        <v>0.29769428939090381</v>
      </c>
    </row>
    <row r="40" spans="1:14" ht="18" x14ac:dyDescent="0.25">
      <c r="A40" s="58"/>
      <c r="B40" s="58"/>
      <c r="C40" s="79" t="s">
        <v>117</v>
      </c>
      <c r="D40" s="162" t="s">
        <v>118</v>
      </c>
      <c r="E40" s="162"/>
      <c r="F40" s="162"/>
      <c r="G40" s="162"/>
      <c r="H40" s="162"/>
      <c r="I40" s="162"/>
      <c r="K40" s="5"/>
    </row>
    <row r="41" spans="1:14" ht="18" customHeight="1" x14ac:dyDescent="0.25">
      <c r="A41" s="58"/>
      <c r="B41" s="58"/>
      <c r="C41" s="79" t="s">
        <v>62</v>
      </c>
      <c r="D41" s="162" t="s">
        <v>65</v>
      </c>
      <c r="E41" s="162"/>
      <c r="F41" s="162"/>
      <c r="G41" s="162"/>
      <c r="H41" s="162"/>
      <c r="I41" s="162"/>
      <c r="K41" s="5"/>
    </row>
    <row r="42" spans="1:14" ht="18" x14ac:dyDescent="0.25">
      <c r="A42" s="62"/>
      <c r="B42" s="62"/>
      <c r="C42" s="80"/>
      <c r="D42" s="62"/>
      <c r="E42" s="63"/>
      <c r="F42" s="64"/>
      <c r="G42" s="64"/>
      <c r="H42" s="64"/>
      <c r="I42" s="64"/>
    </row>
    <row r="44" spans="1:14" ht="22.9" customHeight="1" x14ac:dyDescent="0.2"/>
    <row r="45" spans="1:14" x14ac:dyDescent="0.2">
      <c r="C45" s="23"/>
    </row>
  </sheetData>
  <mergeCells count="13">
    <mergeCell ref="D39:I39"/>
    <mergeCell ref="D40:I40"/>
    <mergeCell ref="D41:I41"/>
    <mergeCell ref="B11:C11"/>
    <mergeCell ref="C2:I2"/>
    <mergeCell ref="C6:I6"/>
    <mergeCell ref="B8:I8"/>
    <mergeCell ref="D9:I9"/>
    <mergeCell ref="D10:I10"/>
    <mergeCell ref="D11:F11"/>
    <mergeCell ref="C5:E5"/>
    <mergeCell ref="D7:I7"/>
    <mergeCell ref="A4:I4"/>
  </mergeCells>
  <pageMargins left="0.39370078740157483" right="0.27559055118110237" top="0.39370078740157483" bottom="0.19685039370078741" header="0.31496062992125984" footer="0.31496062992125984"/>
  <pageSetup paperSize="9" scale="60" firstPageNumber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BreakPreview" zoomScaleSheetLayoutView="100" workbookViewId="0">
      <selection activeCell="C4" sqref="C4"/>
    </sheetView>
  </sheetViews>
  <sheetFormatPr defaultColWidth="8.28515625" defaultRowHeight="12.75" x14ac:dyDescent="0.2"/>
  <cols>
    <col min="1" max="1" width="7.42578125" customWidth="1"/>
    <col min="2" max="2" width="10.7109375" customWidth="1"/>
    <col min="3" max="3" width="19" customWidth="1"/>
    <col min="4" max="4" width="12.42578125" customWidth="1"/>
    <col min="5" max="5" width="9.28515625" customWidth="1"/>
    <col min="6" max="6" width="9" customWidth="1"/>
    <col min="7" max="7" width="9.28515625" customWidth="1"/>
    <col min="8" max="10" width="9" customWidth="1"/>
    <col min="11" max="11" width="9.28515625" customWidth="1"/>
    <col min="12" max="16" width="9" customWidth="1"/>
    <col min="17" max="17" width="14" style="2" customWidth="1"/>
    <col min="18" max="18" width="10.140625" customWidth="1"/>
  </cols>
  <sheetData>
    <row r="1" spans="1:18" x14ac:dyDescent="0.2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  <c r="R1" s="97"/>
    </row>
    <row r="2" spans="1:18" ht="12.75" customHeight="1" x14ac:dyDescent="0.3">
      <c r="A2" s="93"/>
      <c r="B2" s="23"/>
      <c r="C2" s="23"/>
      <c r="D2" s="23"/>
      <c r="E2" s="23"/>
      <c r="F2" s="23"/>
      <c r="G2" s="23"/>
      <c r="H2" s="6"/>
      <c r="I2" s="6"/>
      <c r="J2" s="6"/>
      <c r="K2" s="6"/>
      <c r="L2" s="6"/>
      <c r="M2" s="6"/>
      <c r="N2" s="6"/>
      <c r="O2" s="6"/>
      <c r="P2" s="6"/>
      <c r="Q2" s="98"/>
      <c r="R2" s="99"/>
    </row>
    <row r="3" spans="1:18" ht="19.5" customHeight="1" x14ac:dyDescent="0.2">
      <c r="A3" s="93"/>
      <c r="B3" s="214" t="s">
        <v>33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5"/>
    </row>
    <row r="4" spans="1:18" x14ac:dyDescent="0.2">
      <c r="A4" s="9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98"/>
      <c r="R4" s="99"/>
    </row>
    <row r="5" spans="1:18" ht="12.75" customHeight="1" x14ac:dyDescent="0.2">
      <c r="A5" s="216" t="s">
        <v>34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5"/>
    </row>
    <row r="6" spans="1:18" ht="12.75" customHeight="1" x14ac:dyDescent="0.2">
      <c r="A6" s="216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5"/>
    </row>
    <row r="7" spans="1:18" x14ac:dyDescent="0.2">
      <c r="A7" s="9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98"/>
      <c r="R7" s="99"/>
    </row>
    <row r="8" spans="1:18" ht="13.5" thickBot="1" x14ac:dyDescent="0.25">
      <c r="A8" s="9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98"/>
      <c r="R8" s="99"/>
    </row>
    <row r="9" spans="1:18" ht="18.75" thickBot="1" x14ac:dyDescent="0.25">
      <c r="A9" s="224" t="s">
        <v>120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6"/>
    </row>
    <row r="10" spans="1:18" x14ac:dyDescent="0.2">
      <c r="A10" s="227" t="s">
        <v>5</v>
      </c>
      <c r="B10" s="228"/>
      <c r="C10" s="229" t="s">
        <v>36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7" t="s">
        <v>6</v>
      </c>
      <c r="R10" s="100"/>
    </row>
    <row r="11" spans="1:18" ht="14.65" customHeight="1" x14ac:dyDescent="0.2">
      <c r="A11" s="230" t="s">
        <v>7</v>
      </c>
      <c r="B11" s="231"/>
      <c r="C11" s="188" t="str">
        <f>Orçamento!B8</f>
        <v>Jardim dos Alpes - Rua Aparecida Vallim Freitas, Rua Francisco Chagas, Rua Valério Braido, Rua Joaquim S. Eulálio, Rua Olinda Rosa Alonso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9"/>
      <c r="R11" s="190"/>
    </row>
    <row r="12" spans="1:18" x14ac:dyDescent="0.2">
      <c r="A12" s="191" t="s">
        <v>8</v>
      </c>
      <c r="B12" s="192"/>
      <c r="C12" s="188" t="str">
        <f>Orçamento!B7</f>
        <v xml:space="preserve">Recapeamento Asfáltico, Sinalização Horizontal e Sinalização Vertical 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9"/>
      <c r="R12" s="190"/>
    </row>
    <row r="13" spans="1:18" ht="13.5" thickBot="1" x14ac:dyDescent="0.25">
      <c r="A13" s="193" t="s">
        <v>9</v>
      </c>
      <c r="B13" s="194"/>
      <c r="C13" s="188" t="s">
        <v>37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205" t="str">
        <f>Orçamento!A10</f>
        <v>DATA  : 07/05/2018</v>
      </c>
      <c r="R13" s="206"/>
    </row>
    <row r="14" spans="1:18" ht="13.5" thickBot="1" x14ac:dyDescent="0.25">
      <c r="A14" s="217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9"/>
    </row>
    <row r="15" spans="1:18" ht="23.25" customHeight="1" thickBot="1" x14ac:dyDescent="0.25">
      <c r="A15" s="220" t="s">
        <v>10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2"/>
    </row>
    <row r="16" spans="1:18" ht="24.95" customHeight="1" thickBot="1" x14ac:dyDescent="0.25">
      <c r="A16" s="182" t="s">
        <v>0</v>
      </c>
      <c r="B16" s="183" t="s">
        <v>11</v>
      </c>
      <c r="C16" s="183"/>
      <c r="D16" s="183"/>
      <c r="E16" s="184" t="s">
        <v>10</v>
      </c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5"/>
    </row>
    <row r="17" spans="1:18" ht="24.95" customHeight="1" thickBot="1" x14ac:dyDescent="0.25">
      <c r="A17" s="182"/>
      <c r="B17" s="186" t="s">
        <v>12</v>
      </c>
      <c r="C17" s="186"/>
      <c r="D17" s="186"/>
      <c r="E17" s="187" t="s">
        <v>13</v>
      </c>
      <c r="F17" s="187"/>
      <c r="G17" s="187" t="s">
        <v>14</v>
      </c>
      <c r="H17" s="187"/>
      <c r="I17" s="187" t="s">
        <v>15</v>
      </c>
      <c r="J17" s="187"/>
      <c r="K17" s="187" t="s">
        <v>16</v>
      </c>
      <c r="L17" s="187"/>
      <c r="M17" s="187" t="s">
        <v>17</v>
      </c>
      <c r="N17" s="187"/>
      <c r="O17" s="187" t="s">
        <v>18</v>
      </c>
      <c r="P17" s="187"/>
      <c r="Q17" s="8" t="s">
        <v>19</v>
      </c>
      <c r="R17" s="101" t="s">
        <v>20</v>
      </c>
    </row>
    <row r="18" spans="1:18" ht="24.95" customHeight="1" x14ac:dyDescent="0.2">
      <c r="A18" s="182"/>
      <c r="B18" s="223" t="s">
        <v>21</v>
      </c>
      <c r="C18" s="223"/>
      <c r="D18" s="223"/>
      <c r="E18" s="9" t="s">
        <v>22</v>
      </c>
      <c r="F18" s="9" t="s">
        <v>23</v>
      </c>
      <c r="G18" s="9" t="s">
        <v>22</v>
      </c>
      <c r="H18" s="9" t="s">
        <v>23</v>
      </c>
      <c r="I18" s="9" t="s">
        <v>22</v>
      </c>
      <c r="J18" s="9" t="s">
        <v>23</v>
      </c>
      <c r="K18" s="9" t="s">
        <v>22</v>
      </c>
      <c r="L18" s="9" t="s">
        <v>23</v>
      </c>
      <c r="M18" s="9" t="s">
        <v>22</v>
      </c>
      <c r="N18" s="9" t="s">
        <v>23</v>
      </c>
      <c r="O18" s="9" t="s">
        <v>22</v>
      </c>
      <c r="P18" s="9" t="s">
        <v>23</v>
      </c>
      <c r="Q18" s="10" t="s">
        <v>24</v>
      </c>
      <c r="R18" s="102" t="s">
        <v>25</v>
      </c>
    </row>
    <row r="19" spans="1:18" ht="24.95" customHeight="1" x14ac:dyDescent="0.2">
      <c r="A19" s="207" t="str">
        <f>Orçamento!A13</f>
        <v>1.0</v>
      </c>
      <c r="B19" s="209" t="str">
        <f>Orçamento!C13</f>
        <v>PLACA DA OBRA</v>
      </c>
      <c r="C19" s="209"/>
      <c r="D19" s="11" t="s">
        <v>26</v>
      </c>
      <c r="E19" s="12">
        <f>100</f>
        <v>100</v>
      </c>
      <c r="F19" s="13">
        <f>E19</f>
        <v>100</v>
      </c>
      <c r="G19" s="12"/>
      <c r="H19" s="13">
        <f>F19+G19</f>
        <v>100</v>
      </c>
      <c r="I19" s="12"/>
      <c r="J19" s="13">
        <f>H19+I19</f>
        <v>100</v>
      </c>
      <c r="K19" s="12"/>
      <c r="L19" s="13">
        <f>J19+K19</f>
        <v>100</v>
      </c>
      <c r="M19" s="12"/>
      <c r="N19" s="13">
        <f>L19+M19</f>
        <v>100</v>
      </c>
      <c r="O19" s="12"/>
      <c r="P19" s="13">
        <f>N19+O19</f>
        <v>100</v>
      </c>
      <c r="Q19" s="210">
        <f>Orçamento!I13</f>
        <v>1051.92</v>
      </c>
      <c r="R19" s="211">
        <f>Q19*100/$Q$25</f>
        <v>0.37588436917482315</v>
      </c>
    </row>
    <row r="20" spans="1:18" ht="24.95" customHeight="1" x14ac:dyDescent="0.2">
      <c r="A20" s="208"/>
      <c r="B20" s="209"/>
      <c r="C20" s="209"/>
      <c r="D20" s="14" t="s">
        <v>27</v>
      </c>
      <c r="E20" s="12">
        <f>E19*$Q19/100</f>
        <v>1051.92</v>
      </c>
      <c r="F20" s="15"/>
      <c r="G20" s="12">
        <f>G19*$Q19/100</f>
        <v>0</v>
      </c>
      <c r="H20" s="15"/>
      <c r="I20" s="12">
        <f>I19*$Q19/100</f>
        <v>0</v>
      </c>
      <c r="J20" s="15"/>
      <c r="K20" s="12">
        <f>K19*$Q19/100</f>
        <v>0</v>
      </c>
      <c r="L20" s="15"/>
      <c r="M20" s="12">
        <f>M19*$Q19/100</f>
        <v>0</v>
      </c>
      <c r="N20" s="15"/>
      <c r="O20" s="12">
        <f>O19*$Q19/100</f>
        <v>0</v>
      </c>
      <c r="P20" s="15"/>
      <c r="Q20" s="210"/>
      <c r="R20" s="211" t="e">
        <f>Q20*100/Q26</f>
        <v>#VALUE!</v>
      </c>
    </row>
    <row r="21" spans="1:18" ht="24.95" customHeight="1" x14ac:dyDescent="0.2">
      <c r="A21" s="207" t="str">
        <f>Orçamento!A15</f>
        <v>2.0</v>
      </c>
      <c r="B21" s="209" t="str">
        <f>Orçamento!C15</f>
        <v>RECAPEAMENTO</v>
      </c>
      <c r="C21" s="209"/>
      <c r="D21" s="11" t="s">
        <v>26</v>
      </c>
      <c r="E21" s="12">
        <v>20</v>
      </c>
      <c r="F21" s="13">
        <f>E21</f>
        <v>20</v>
      </c>
      <c r="G21" s="12">
        <v>20</v>
      </c>
      <c r="H21" s="13">
        <f>F21+G21</f>
        <v>40</v>
      </c>
      <c r="I21" s="12">
        <v>20</v>
      </c>
      <c r="J21" s="13">
        <f>H21+I21</f>
        <v>60</v>
      </c>
      <c r="K21" s="12">
        <v>20</v>
      </c>
      <c r="L21" s="13">
        <f>J21+K21</f>
        <v>80</v>
      </c>
      <c r="M21" s="12">
        <v>10</v>
      </c>
      <c r="N21" s="13">
        <f>L21+M21</f>
        <v>90</v>
      </c>
      <c r="O21" s="12">
        <v>10</v>
      </c>
      <c r="P21" s="13">
        <f>N21+O21</f>
        <v>100</v>
      </c>
      <c r="Q21" s="210">
        <f>Orçamento!I15</f>
        <v>266088.73000000004</v>
      </c>
      <c r="R21" s="211">
        <f>Q21*100/$Q$25</f>
        <v>95.081940091052417</v>
      </c>
    </row>
    <row r="22" spans="1:18" ht="24.95" customHeight="1" x14ac:dyDescent="0.2">
      <c r="A22" s="208"/>
      <c r="B22" s="209"/>
      <c r="C22" s="209"/>
      <c r="D22" s="14" t="s">
        <v>27</v>
      </c>
      <c r="E22" s="12">
        <f>E21*$Q21/100</f>
        <v>53217.746000000006</v>
      </c>
      <c r="F22" s="15"/>
      <c r="G22" s="12">
        <f>G21*$Q21/100</f>
        <v>53217.746000000006</v>
      </c>
      <c r="H22" s="15"/>
      <c r="I22" s="12">
        <f>I21*$Q21/100</f>
        <v>53217.746000000006</v>
      </c>
      <c r="J22" s="15"/>
      <c r="K22" s="12">
        <f>K21*$Q21/100</f>
        <v>53217.746000000006</v>
      </c>
      <c r="L22" s="15"/>
      <c r="M22" s="12">
        <f>M21*$Q21/100</f>
        <v>26608.873000000003</v>
      </c>
      <c r="N22" s="15"/>
      <c r="O22" s="12">
        <f>O21*$Q21/100</f>
        <v>26608.873000000003</v>
      </c>
      <c r="P22" s="15"/>
      <c r="Q22" s="210"/>
      <c r="R22" s="211" t="e">
        <f>Q22*100/Q28</f>
        <v>#DIV/0!</v>
      </c>
    </row>
    <row r="23" spans="1:18" ht="24.95" customHeight="1" x14ac:dyDescent="0.2">
      <c r="A23" s="207" t="str">
        <f>Orçamento!A19</f>
        <v>3.0</v>
      </c>
      <c r="B23" s="209" t="str">
        <f>Orçamento!C19</f>
        <v>SINALIZAÇÃO</v>
      </c>
      <c r="C23" s="209"/>
      <c r="D23" s="11" t="s">
        <v>26</v>
      </c>
      <c r="E23" s="12">
        <v>0</v>
      </c>
      <c r="F23" s="13">
        <f>E23</f>
        <v>0</v>
      </c>
      <c r="G23" s="12">
        <v>0</v>
      </c>
      <c r="H23" s="13">
        <f>F23+G23</f>
        <v>0</v>
      </c>
      <c r="I23" s="12">
        <v>0</v>
      </c>
      <c r="J23" s="13">
        <f>H23+I23</f>
        <v>0</v>
      </c>
      <c r="K23" s="12">
        <v>0</v>
      </c>
      <c r="L23" s="13">
        <f>J23+K23</f>
        <v>0</v>
      </c>
      <c r="M23" s="12">
        <v>50</v>
      </c>
      <c r="N23" s="13">
        <f>L23+M23</f>
        <v>50</v>
      </c>
      <c r="O23" s="12">
        <v>50</v>
      </c>
      <c r="P23" s="13">
        <f>N23+O23</f>
        <v>100</v>
      </c>
      <c r="Q23" s="210">
        <f>Orçamento!I19</f>
        <v>12711.369999999999</v>
      </c>
      <c r="R23" s="211">
        <f>Q23*100/$Q$25</f>
        <v>4.5421755397727699</v>
      </c>
    </row>
    <row r="24" spans="1:18" ht="24.95" customHeight="1" x14ac:dyDescent="0.2">
      <c r="A24" s="208"/>
      <c r="B24" s="209"/>
      <c r="C24" s="209"/>
      <c r="D24" s="14" t="s">
        <v>27</v>
      </c>
      <c r="E24" s="12">
        <f>E23*$Q23/100</f>
        <v>0</v>
      </c>
      <c r="F24" s="15"/>
      <c r="G24" s="12">
        <f>G23*$Q23/100</f>
        <v>0</v>
      </c>
      <c r="H24" s="15"/>
      <c r="I24" s="12">
        <f>I23*$Q23/100</f>
        <v>0</v>
      </c>
      <c r="J24" s="15"/>
      <c r="K24" s="12">
        <f>K23*$Q23/100</f>
        <v>0</v>
      </c>
      <c r="L24" s="15"/>
      <c r="M24" s="12">
        <f>M23*$Q23/100</f>
        <v>6355.6850000000004</v>
      </c>
      <c r="N24" s="15"/>
      <c r="O24" s="12">
        <f>O23*$Q23/100</f>
        <v>6355.6850000000004</v>
      </c>
      <c r="P24" s="15"/>
      <c r="Q24" s="210"/>
      <c r="R24" s="211" t="e">
        <f>Q24*100/Q30</f>
        <v>#DIV/0!</v>
      </c>
    </row>
    <row r="25" spans="1:18" ht="24.95" customHeight="1" x14ac:dyDescent="0.2">
      <c r="A25" s="200" t="s">
        <v>28</v>
      </c>
      <c r="B25" s="201"/>
      <c r="C25" s="201"/>
      <c r="D25" s="16"/>
      <c r="E25" s="17">
        <f>E24+E22+E20</f>
        <v>54269.666000000005</v>
      </c>
      <c r="F25" s="18">
        <f>E25*100/$Q25</f>
        <v>19.392272387385304</v>
      </c>
      <c r="G25" s="17">
        <f>G24+G22+G20</f>
        <v>53217.746000000006</v>
      </c>
      <c r="H25" s="18">
        <f>G25*100/$Q25</f>
        <v>19.016388018210481</v>
      </c>
      <c r="I25" s="17">
        <f>I24+I22+I20</f>
        <v>53217.746000000006</v>
      </c>
      <c r="J25" s="18">
        <f>I25*100/$Q25</f>
        <v>19.016388018210481</v>
      </c>
      <c r="K25" s="17">
        <f>K24+K22+K20</f>
        <v>53217.746000000006</v>
      </c>
      <c r="L25" s="18">
        <f>K25*100/$Q25</f>
        <v>19.016388018210481</v>
      </c>
      <c r="M25" s="17">
        <f>M24+M22+M20</f>
        <v>32964.558000000005</v>
      </c>
      <c r="N25" s="18">
        <f>M25*100/$Q25</f>
        <v>11.779281778991626</v>
      </c>
      <c r="O25" s="17">
        <f>O24+O22+O20</f>
        <v>32964.558000000005</v>
      </c>
      <c r="P25" s="18">
        <f>O25*100/$Q25</f>
        <v>11.779281778991626</v>
      </c>
      <c r="Q25" s="19">
        <f>ROUNDUP(Q23+Q21+Q19,2)</f>
        <v>279852.02</v>
      </c>
      <c r="R25" s="103">
        <f>R23+R21+R19</f>
        <v>100.00000000000001</v>
      </c>
    </row>
    <row r="26" spans="1:18" ht="24.95" customHeight="1" thickBot="1" x14ac:dyDescent="0.25">
      <c r="A26" s="200" t="s">
        <v>29</v>
      </c>
      <c r="B26" s="201"/>
      <c r="C26" s="201"/>
      <c r="D26" s="20"/>
      <c r="E26" s="202">
        <f>E25</f>
        <v>54269.666000000005</v>
      </c>
      <c r="F26" s="202"/>
      <c r="G26" s="202">
        <f>G25</f>
        <v>53217.746000000006</v>
      </c>
      <c r="H26" s="202"/>
      <c r="I26" s="202">
        <f>I25</f>
        <v>53217.746000000006</v>
      </c>
      <c r="J26" s="202"/>
      <c r="K26" s="202">
        <f>K25</f>
        <v>53217.746000000006</v>
      </c>
      <c r="L26" s="202"/>
      <c r="M26" s="202">
        <f>M25</f>
        <v>32964.558000000005</v>
      </c>
      <c r="N26" s="202"/>
      <c r="O26" s="202">
        <f>O25</f>
        <v>32964.558000000005</v>
      </c>
      <c r="P26" s="202"/>
      <c r="Q26" s="21" t="s">
        <v>25</v>
      </c>
      <c r="R26" s="195"/>
    </row>
    <row r="27" spans="1:18" ht="24.95" customHeight="1" thickBot="1" x14ac:dyDescent="0.25">
      <c r="A27" s="197" t="s">
        <v>30</v>
      </c>
      <c r="B27" s="198"/>
      <c r="C27" s="198"/>
      <c r="D27" s="104"/>
      <c r="E27" s="199">
        <f>ROUNDUP(E26,2)</f>
        <v>54269.670000000006</v>
      </c>
      <c r="F27" s="199"/>
      <c r="G27" s="199">
        <f>G26+E27</f>
        <v>107487.41600000001</v>
      </c>
      <c r="H27" s="199"/>
      <c r="I27" s="199">
        <f>I26+G27</f>
        <v>160705.16200000001</v>
      </c>
      <c r="J27" s="199"/>
      <c r="K27" s="199">
        <f>K26+I27</f>
        <v>213922.90800000002</v>
      </c>
      <c r="L27" s="199"/>
      <c r="M27" s="199">
        <f>M26+K27</f>
        <v>246887.46600000001</v>
      </c>
      <c r="N27" s="199"/>
      <c r="O27" s="199">
        <f>O26+M27</f>
        <v>279852.02400000003</v>
      </c>
      <c r="P27" s="199"/>
      <c r="Q27" s="105">
        <f>O27/Q25</f>
        <v>1.0000000142932683</v>
      </c>
      <c r="R27" s="196"/>
    </row>
    <row r="29" spans="1:18" ht="14.25" x14ac:dyDescent="0.2">
      <c r="C29" s="34" t="str">
        <f>Orçamento!C38</f>
        <v>Aguaí, 07 de maio de 2018</v>
      </c>
      <c r="H29" s="203"/>
      <c r="I29" s="203"/>
      <c r="J29" s="203"/>
      <c r="K29" s="203"/>
      <c r="L29" s="203"/>
      <c r="M29" s="203"/>
      <c r="N29" s="203"/>
      <c r="O29" s="203"/>
      <c r="P29" s="203"/>
    </row>
    <row r="30" spans="1:18" x14ac:dyDescent="0.2">
      <c r="H30" s="203"/>
      <c r="I30" s="203"/>
      <c r="J30" s="203"/>
      <c r="K30" s="203"/>
      <c r="L30" s="203"/>
      <c r="M30" s="203"/>
      <c r="N30" s="203"/>
      <c r="O30" s="203"/>
      <c r="P30" s="203"/>
    </row>
    <row r="31" spans="1:18" ht="27.75" customHeight="1" x14ac:dyDescent="0.2">
      <c r="D31" s="212" t="s">
        <v>66</v>
      </c>
      <c r="E31" s="212"/>
      <c r="F31" s="212"/>
      <c r="G31" s="212"/>
      <c r="H31" s="212"/>
      <c r="I31" s="62"/>
      <c r="J31" s="62"/>
      <c r="K31" s="212" t="str">
        <f>D31</f>
        <v>______________________________</v>
      </c>
      <c r="L31" s="212"/>
      <c r="M31" s="212"/>
      <c r="N31" s="212"/>
      <c r="O31" s="212"/>
      <c r="P31" s="212"/>
      <c r="Q31" s="212"/>
    </row>
    <row r="32" spans="1:18" ht="15" x14ac:dyDescent="0.2">
      <c r="D32" s="212" t="str">
        <f>Orçamento!C40</f>
        <v>Engª Civil Janaina Albuquerque Alves</v>
      </c>
      <c r="E32" s="212"/>
      <c r="F32" s="212"/>
      <c r="G32" s="212"/>
      <c r="H32" s="212"/>
      <c r="I32" s="62"/>
      <c r="J32" s="62"/>
      <c r="K32" s="212" t="str">
        <f>Orçamento!D40</f>
        <v>Arqº Daniel Garcia Cobra Monteiro</v>
      </c>
      <c r="L32" s="212"/>
      <c r="M32" s="212"/>
      <c r="N32" s="212"/>
      <c r="O32" s="212"/>
      <c r="P32" s="212"/>
      <c r="Q32" s="212"/>
    </row>
    <row r="33" spans="4:17" ht="39" customHeight="1" x14ac:dyDescent="0.2">
      <c r="D33" s="213" t="str">
        <f>Orçamento!C41</f>
        <v>Responsável Técnica</v>
      </c>
      <c r="E33" s="213"/>
      <c r="F33" s="213"/>
      <c r="G33" s="213"/>
      <c r="H33" s="213"/>
      <c r="I33" s="81"/>
      <c r="J33" s="81"/>
      <c r="K33" s="204" t="str">
        <f>Orçamento!D41</f>
        <v>Secretário Municipal de Planejamento, Serviços Urbanos e Meio Ambiente</v>
      </c>
      <c r="L33" s="204"/>
      <c r="M33" s="204"/>
      <c r="N33" s="204"/>
      <c r="O33" s="204"/>
      <c r="P33" s="204"/>
      <c r="Q33" s="204"/>
    </row>
  </sheetData>
  <mergeCells count="61">
    <mergeCell ref="A19:A20"/>
    <mergeCell ref="B19:C20"/>
    <mergeCell ref="B3:R3"/>
    <mergeCell ref="A5:R6"/>
    <mergeCell ref="G17:H17"/>
    <mergeCell ref="I17:J17"/>
    <mergeCell ref="K17:L17"/>
    <mergeCell ref="M17:N17"/>
    <mergeCell ref="C13:P13"/>
    <mergeCell ref="A14:R14"/>
    <mergeCell ref="A15:R15"/>
    <mergeCell ref="B18:D18"/>
    <mergeCell ref="A9:R9"/>
    <mergeCell ref="A10:B10"/>
    <mergeCell ref="C10:P10"/>
    <mergeCell ref="A11:B11"/>
    <mergeCell ref="K32:Q32"/>
    <mergeCell ref="K31:Q31"/>
    <mergeCell ref="D32:H32"/>
    <mergeCell ref="D33:H33"/>
    <mergeCell ref="D31:H31"/>
    <mergeCell ref="A25:C25"/>
    <mergeCell ref="H29:P30"/>
    <mergeCell ref="M26:N26"/>
    <mergeCell ref="K33:Q33"/>
    <mergeCell ref="Q13:R13"/>
    <mergeCell ref="O17:P17"/>
    <mergeCell ref="A23:A24"/>
    <mergeCell ref="B23:C24"/>
    <mergeCell ref="Q23:Q24"/>
    <mergeCell ref="R23:R24"/>
    <mergeCell ref="Q19:Q20"/>
    <mergeCell ref="R19:R20"/>
    <mergeCell ref="A21:A22"/>
    <mergeCell ref="B21:C22"/>
    <mergeCell ref="Q21:Q22"/>
    <mergeCell ref="R21:R22"/>
    <mergeCell ref="R26:R27"/>
    <mergeCell ref="A27:C27"/>
    <mergeCell ref="E27:F27"/>
    <mergeCell ref="G27:H27"/>
    <mergeCell ref="I27:J27"/>
    <mergeCell ref="K27:L27"/>
    <mergeCell ref="M27:N27"/>
    <mergeCell ref="A26:C26"/>
    <mergeCell ref="E26:F26"/>
    <mergeCell ref="G26:H26"/>
    <mergeCell ref="I26:J26"/>
    <mergeCell ref="K26:L26"/>
    <mergeCell ref="O26:P26"/>
    <mergeCell ref="O27:P27"/>
    <mergeCell ref="C11:P11"/>
    <mergeCell ref="Q11:R12"/>
    <mergeCell ref="A12:B12"/>
    <mergeCell ref="C12:P12"/>
    <mergeCell ref="A13:B13"/>
    <mergeCell ref="A16:A18"/>
    <mergeCell ref="B16:D16"/>
    <mergeCell ref="E16:R16"/>
    <mergeCell ref="B17:D17"/>
    <mergeCell ref="E17:F17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77" firstPageNumber="0" orientation="landscape" r:id="rId1"/>
  <headerFooter alignWithMargins="0"/>
  <rowBreaks count="1" manualBreakCount="1">
    <brk id="28" max="16383" man="1"/>
  </rowBreaks>
  <ignoredErrors>
    <ignoredError sqref="E2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7"/>
  <sheetViews>
    <sheetView workbookViewId="0">
      <selection activeCell="F4" sqref="F4"/>
    </sheetView>
  </sheetViews>
  <sheetFormatPr defaultRowHeight="12.75" x14ac:dyDescent="0.2"/>
  <cols>
    <col min="2" max="2" width="33.7109375" customWidth="1"/>
    <col min="3" max="3" width="13.140625" customWidth="1"/>
    <col min="4" max="4" width="11.85546875" bestFit="1" customWidth="1"/>
    <col min="5" max="5" width="10.85546875" customWidth="1"/>
    <col min="8" max="8" width="25.5703125" customWidth="1"/>
    <col min="9" max="9" width="22.28515625" customWidth="1"/>
    <col min="10" max="10" width="16.42578125" customWidth="1"/>
    <col min="11" max="11" width="20.42578125" customWidth="1"/>
  </cols>
  <sheetData>
    <row r="3" spans="1:13" ht="45" x14ac:dyDescent="0.2">
      <c r="B3" s="106" t="s">
        <v>67</v>
      </c>
      <c r="C3" s="106" t="s">
        <v>103</v>
      </c>
      <c r="D3" s="106" t="s">
        <v>101</v>
      </c>
      <c r="E3" s="106" t="s">
        <v>92</v>
      </c>
      <c r="F3" s="106" t="s">
        <v>102</v>
      </c>
      <c r="G3" s="106" t="s">
        <v>74</v>
      </c>
    </row>
    <row r="4" spans="1:13" ht="15" x14ac:dyDescent="0.2">
      <c r="B4" s="83" t="s">
        <v>93</v>
      </c>
      <c r="C4" s="107">
        <v>340</v>
      </c>
      <c r="D4" s="107">
        <f>340*A11</f>
        <v>3264</v>
      </c>
      <c r="E4" s="107">
        <v>-9.6300000000000008</v>
      </c>
      <c r="F4" s="107">
        <f>D4+E4</f>
        <v>3254.37</v>
      </c>
      <c r="G4" s="107">
        <f>0.03*F4</f>
        <v>97.631099999999989</v>
      </c>
    </row>
    <row r="5" spans="1:13" ht="15" x14ac:dyDescent="0.2">
      <c r="B5" s="83" t="s">
        <v>70</v>
      </c>
      <c r="C5" s="107">
        <v>74.099999999999994</v>
      </c>
      <c r="D5" s="107">
        <f>74.1*A11</f>
        <v>711.3599999999999</v>
      </c>
      <c r="E5" s="107">
        <f>2*A12</f>
        <v>54.6</v>
      </c>
      <c r="F5" s="107">
        <f t="shared" ref="F5:F8" si="0">D5+E5</f>
        <v>765.95999999999992</v>
      </c>
      <c r="G5" s="107">
        <f t="shared" ref="G5:G8" si="1">0.03*F5</f>
        <v>22.978799999999996</v>
      </c>
    </row>
    <row r="6" spans="1:13" ht="15" x14ac:dyDescent="0.2">
      <c r="B6" s="83" t="s">
        <v>76</v>
      </c>
      <c r="C6" s="128">
        <f>140.9+47</f>
        <v>187.9</v>
      </c>
      <c r="D6" s="107">
        <f>(140.9+47)*A11</f>
        <v>1803.84</v>
      </c>
      <c r="E6" s="107">
        <f>4*A12</f>
        <v>109.2</v>
      </c>
      <c r="F6" s="107">
        <f t="shared" si="0"/>
        <v>1913.04</v>
      </c>
      <c r="G6" s="107">
        <f t="shared" si="1"/>
        <v>57.391199999999998</v>
      </c>
    </row>
    <row r="7" spans="1:13" ht="15" x14ac:dyDescent="0.2">
      <c r="B7" s="83" t="s">
        <v>71</v>
      </c>
      <c r="C7" s="107">
        <v>139.88999999999999</v>
      </c>
      <c r="D7" s="107">
        <f>139.89*A11</f>
        <v>1342.9439999999997</v>
      </c>
      <c r="E7" s="107">
        <f>2*A12</f>
        <v>54.6</v>
      </c>
      <c r="F7" s="107">
        <f t="shared" si="0"/>
        <v>1397.5439999999996</v>
      </c>
      <c r="G7" s="107">
        <f t="shared" si="1"/>
        <v>41.92631999999999</v>
      </c>
    </row>
    <row r="8" spans="1:13" ht="15" x14ac:dyDescent="0.2">
      <c r="B8" s="83" t="s">
        <v>72</v>
      </c>
      <c r="C8" s="107">
        <v>133.80000000000001</v>
      </c>
      <c r="D8" s="107">
        <f>133.8*A11</f>
        <v>1284.48</v>
      </c>
      <c r="E8" s="107">
        <f>A12</f>
        <v>27.3</v>
      </c>
      <c r="F8" s="107">
        <f t="shared" si="0"/>
        <v>1311.78</v>
      </c>
      <c r="G8" s="107">
        <f t="shared" si="1"/>
        <v>39.353400000000001</v>
      </c>
    </row>
    <row r="9" spans="1:13" ht="15" x14ac:dyDescent="0.25">
      <c r="B9" s="83" t="s">
        <v>58</v>
      </c>
      <c r="C9" s="84"/>
      <c r="D9" s="107"/>
      <c r="E9" s="107"/>
      <c r="F9" s="127">
        <f>SUM(F4:F8)</f>
        <v>8642.6939999999995</v>
      </c>
      <c r="G9" s="127">
        <f>SUM(G4:G8)</f>
        <v>259.28082000000001</v>
      </c>
    </row>
    <row r="11" spans="1:13" x14ac:dyDescent="0.2">
      <c r="A11">
        <v>9.6</v>
      </c>
    </row>
    <row r="12" spans="1:13" x14ac:dyDescent="0.2">
      <c r="A12">
        <v>27.3</v>
      </c>
    </row>
    <row r="13" spans="1:13" x14ac:dyDescent="0.2">
      <c r="H13" t="s">
        <v>81</v>
      </c>
      <c r="M13">
        <f>Orçamento!G20</f>
        <v>33.829931237014911</v>
      </c>
    </row>
    <row r="14" spans="1:13" ht="29.25" customHeight="1" x14ac:dyDescent="0.2">
      <c r="B14" t="s">
        <v>82</v>
      </c>
      <c r="C14">
        <v>18.16</v>
      </c>
      <c r="H14" s="110" t="s">
        <v>83</v>
      </c>
      <c r="I14" s="111" t="s">
        <v>86</v>
      </c>
      <c r="J14" s="111" t="s">
        <v>85</v>
      </c>
      <c r="K14" s="111" t="s">
        <v>87</v>
      </c>
      <c r="L14" s="111" t="s">
        <v>88</v>
      </c>
      <c r="M14" s="108"/>
    </row>
    <row r="15" spans="1:13" ht="15" x14ac:dyDescent="0.2">
      <c r="B15" t="s">
        <v>84</v>
      </c>
      <c r="C15">
        <v>2.7</v>
      </c>
      <c r="H15" s="83" t="s">
        <v>69</v>
      </c>
      <c r="I15" s="83">
        <f>$C$16</f>
        <v>20.86</v>
      </c>
      <c r="J15" s="107">
        <f>D32</f>
        <v>20</v>
      </c>
      <c r="K15" s="107">
        <f>D21</f>
        <v>6.4874700000000001</v>
      </c>
      <c r="L15" s="85">
        <f>D21+D32</f>
        <v>26.487470000000002</v>
      </c>
      <c r="M15" s="109">
        <f>L15*$M$13</f>
        <v>896.06928874249536</v>
      </c>
    </row>
    <row r="16" spans="1:13" ht="15" x14ac:dyDescent="0.2">
      <c r="C16">
        <f>C14+C15</f>
        <v>20.86</v>
      </c>
      <c r="H16" s="83" t="s">
        <v>72</v>
      </c>
      <c r="I16" s="83">
        <f t="shared" ref="I16:I20" si="2">$C$16</f>
        <v>20.86</v>
      </c>
      <c r="J16" s="107">
        <f t="shared" ref="J16:J20" si="3">D33</f>
        <v>2</v>
      </c>
      <c r="K16" s="107">
        <f t="shared" ref="K16:K20" si="4">D22</f>
        <v>3.6352799999999998</v>
      </c>
      <c r="L16" s="85">
        <f>D22+D33+C14</f>
        <v>23.795279999999998</v>
      </c>
      <c r="M16" s="109">
        <f t="shared" ref="M16:M19" si="5">L16*$M$13</f>
        <v>804.99268616551615</v>
      </c>
    </row>
    <row r="17" spans="2:13" ht="15" x14ac:dyDescent="0.2">
      <c r="H17" s="83" t="s">
        <v>71</v>
      </c>
      <c r="I17" s="83">
        <f t="shared" si="2"/>
        <v>20.86</v>
      </c>
      <c r="J17" s="107">
        <f t="shared" si="3"/>
        <v>0</v>
      </c>
      <c r="K17" s="107">
        <f t="shared" si="4"/>
        <v>2.9897999999999998</v>
      </c>
      <c r="L17" s="85">
        <f>D23+D34+2*C14</f>
        <v>39.309800000000003</v>
      </c>
      <c r="M17" s="109">
        <f t="shared" si="5"/>
        <v>1329.8478309408088</v>
      </c>
    </row>
    <row r="18" spans="2:13" ht="15" x14ac:dyDescent="0.2">
      <c r="H18" s="83" t="s">
        <v>76</v>
      </c>
      <c r="I18" s="83">
        <f t="shared" si="2"/>
        <v>20.86</v>
      </c>
      <c r="J18" s="107">
        <f t="shared" si="3"/>
        <v>0</v>
      </c>
      <c r="K18" s="107">
        <f t="shared" si="4"/>
        <v>3.4650000000000003</v>
      </c>
      <c r="L18" s="85">
        <f>D24+D35+4*C14</f>
        <v>76.105000000000004</v>
      </c>
      <c r="M18" s="109">
        <f t="shared" si="5"/>
        <v>2574.62691679302</v>
      </c>
    </row>
    <row r="19" spans="2:13" ht="15" x14ac:dyDescent="0.2">
      <c r="B19" t="s">
        <v>75</v>
      </c>
      <c r="H19" s="83" t="s">
        <v>70</v>
      </c>
      <c r="I19" s="83">
        <f t="shared" si="2"/>
        <v>20.86</v>
      </c>
      <c r="J19" s="107">
        <f t="shared" si="3"/>
        <v>0</v>
      </c>
      <c r="K19" s="107">
        <f t="shared" si="4"/>
        <v>3.0392999999999999</v>
      </c>
      <c r="L19" s="85">
        <f>D25+D36+2*C14</f>
        <v>39.359299999999998</v>
      </c>
      <c r="M19" s="109">
        <f t="shared" si="5"/>
        <v>1331.522412537041</v>
      </c>
    </row>
    <row r="20" spans="2:13" ht="15" x14ac:dyDescent="0.2">
      <c r="B20" s="84" t="s">
        <v>67</v>
      </c>
      <c r="C20" s="84" t="s">
        <v>68</v>
      </c>
      <c r="D20" s="84" t="s">
        <v>73</v>
      </c>
      <c r="H20" s="84" t="s">
        <v>58</v>
      </c>
      <c r="I20" s="83">
        <f t="shared" si="2"/>
        <v>20.86</v>
      </c>
      <c r="J20" s="107">
        <f t="shared" si="3"/>
        <v>22</v>
      </c>
      <c r="K20" s="107">
        <f t="shared" si="4"/>
        <v>19.616849999999999</v>
      </c>
      <c r="L20" s="85">
        <f>SUM(L15:L19)</f>
        <v>205.05685</v>
      </c>
      <c r="M20" s="109">
        <f>SUM(M15:M19)</f>
        <v>6937.0591351788808</v>
      </c>
    </row>
    <row r="21" spans="2:13" ht="15" x14ac:dyDescent="0.2">
      <c r="B21" s="83" t="s">
        <v>69</v>
      </c>
      <c r="C21" s="86">
        <f>50.16+37.42+37.79+35.57+35.65</f>
        <v>196.59</v>
      </c>
      <c r="D21" s="85">
        <f>0.033*C21</f>
        <v>6.4874700000000001</v>
      </c>
    </row>
    <row r="22" spans="2:13" ht="15" x14ac:dyDescent="0.2">
      <c r="B22" s="83" t="s">
        <v>72</v>
      </c>
      <c r="C22" s="86">
        <v>110.16</v>
      </c>
      <c r="D22" s="85">
        <f t="shared" ref="D22:D25" si="6">0.033*C22</f>
        <v>3.6352799999999998</v>
      </c>
    </row>
    <row r="23" spans="2:13" ht="15" x14ac:dyDescent="0.2">
      <c r="B23" s="83" t="s">
        <v>71</v>
      </c>
      <c r="C23" s="87">
        <v>90.6</v>
      </c>
      <c r="D23" s="85">
        <f t="shared" si="6"/>
        <v>2.9897999999999998</v>
      </c>
    </row>
    <row r="24" spans="2:13" ht="15" x14ac:dyDescent="0.2">
      <c r="B24" s="83" t="s">
        <v>76</v>
      </c>
      <c r="C24" s="87">
        <f>92.05+12.95</f>
        <v>105</v>
      </c>
      <c r="D24" s="85">
        <f t="shared" si="6"/>
        <v>3.4650000000000003</v>
      </c>
    </row>
    <row r="25" spans="2:13" ht="15" x14ac:dyDescent="0.2">
      <c r="B25" s="83" t="s">
        <v>70</v>
      </c>
      <c r="C25" s="87">
        <v>92.1</v>
      </c>
      <c r="D25" s="85">
        <f t="shared" si="6"/>
        <v>3.0392999999999999</v>
      </c>
    </row>
    <row r="26" spans="2:13" x14ac:dyDescent="0.2">
      <c r="B26" s="84" t="s">
        <v>58</v>
      </c>
      <c r="C26" s="84">
        <f>SUM(C21:C25)</f>
        <v>594.45000000000005</v>
      </c>
      <c r="D26" s="85">
        <f>SUM(D21:D25)</f>
        <v>19.616849999999999</v>
      </c>
    </row>
    <row r="30" spans="2:13" x14ac:dyDescent="0.2">
      <c r="B30" t="s">
        <v>77</v>
      </c>
    </row>
    <row r="31" spans="2:13" x14ac:dyDescent="0.2">
      <c r="B31" s="88" t="s">
        <v>67</v>
      </c>
      <c r="C31" s="88" t="s">
        <v>78</v>
      </c>
      <c r="D31" s="88" t="s">
        <v>73</v>
      </c>
    </row>
    <row r="32" spans="2:13" ht="15" x14ac:dyDescent="0.2">
      <c r="B32" s="83" t="s">
        <v>69</v>
      </c>
      <c r="C32" s="87">
        <v>10</v>
      </c>
      <c r="D32" s="85">
        <f>10*0.2*C32</f>
        <v>20</v>
      </c>
    </row>
    <row r="33" spans="2:4" ht="15" x14ac:dyDescent="0.2">
      <c r="B33" s="83" t="s">
        <v>72</v>
      </c>
      <c r="C33" s="87">
        <v>1</v>
      </c>
      <c r="D33" s="85">
        <f t="shared" ref="D33:D36" si="7">10*0.2*C33</f>
        <v>2</v>
      </c>
    </row>
    <row r="34" spans="2:4" ht="15" x14ac:dyDescent="0.2">
      <c r="B34" s="83" t="s">
        <v>71</v>
      </c>
      <c r="C34" s="87">
        <v>0</v>
      </c>
      <c r="D34" s="85">
        <f t="shared" si="7"/>
        <v>0</v>
      </c>
    </row>
    <row r="35" spans="2:4" ht="15" x14ac:dyDescent="0.2">
      <c r="B35" s="83" t="s">
        <v>76</v>
      </c>
      <c r="C35" s="87">
        <v>0</v>
      </c>
      <c r="D35" s="85">
        <f t="shared" si="7"/>
        <v>0</v>
      </c>
    </row>
    <row r="36" spans="2:4" ht="15" x14ac:dyDescent="0.2">
      <c r="B36" s="83" t="s">
        <v>70</v>
      </c>
      <c r="C36" s="87">
        <v>0</v>
      </c>
      <c r="D36" s="85">
        <f t="shared" si="7"/>
        <v>0</v>
      </c>
    </row>
    <row r="37" spans="2:4" x14ac:dyDescent="0.2">
      <c r="B37" s="84" t="s">
        <v>58</v>
      </c>
      <c r="C37" s="85">
        <f>SUM(C32:C36)</f>
        <v>11</v>
      </c>
      <c r="D37" s="85">
        <f>SUM(D32:D36)</f>
        <v>22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Orçamento</vt:lpstr>
      <vt:lpstr>Cronograma</vt:lpstr>
      <vt:lpstr>Plan1</vt:lpstr>
      <vt:lpstr>Cronograma!Area_de_impressao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Leonam Custodio</dc:creator>
  <cp:lastModifiedBy>note001</cp:lastModifiedBy>
  <cp:lastPrinted>2018-06-11T14:54:27Z</cp:lastPrinted>
  <dcterms:created xsi:type="dcterms:W3CDTF">2017-03-21T20:01:40Z</dcterms:created>
  <dcterms:modified xsi:type="dcterms:W3CDTF">2018-09-20T18:46:47Z</dcterms:modified>
</cp:coreProperties>
</file>