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360" windowWidth="15345" windowHeight="4095"/>
  </bookViews>
  <sheets>
    <sheet name="Plan.Orç" sheetId="2" r:id="rId1"/>
    <sheet name="Cron.Fis.Fin" sheetId="3" r:id="rId2"/>
    <sheet name="Plan1" sheetId="4" r:id="rId3"/>
  </sheets>
  <definedNames>
    <definedName name="_xlnm._FilterDatabase" localSheetId="0" hidden="1">Plan.Orç!$B$15:$AZ$62</definedName>
    <definedName name="_xlnm.Print_Area" localSheetId="1">Cron.Fis.Fin!$A$1:$R$44</definedName>
    <definedName name="_xlnm.Print_Area" localSheetId="0">Plan.Orç!$B$2:$AP$74</definedName>
    <definedName name="_xlnm.Print_Titles" localSheetId="0">Plan.Orç!$1:$16</definedName>
  </definedNames>
  <calcPr calcId="144525"/>
</workbook>
</file>

<file path=xl/calcChain.xml><?xml version="1.0" encoding="utf-8"?>
<calcChain xmlns="http://schemas.openxmlformats.org/spreadsheetml/2006/main">
  <c r="AG54" i="2" l="1"/>
  <c r="AL54" i="2" s="1"/>
  <c r="J44" i="3" l="1"/>
  <c r="J43" i="3"/>
  <c r="J29" i="3"/>
  <c r="H29" i="3"/>
  <c r="F29" i="3"/>
  <c r="J27" i="3"/>
  <c r="H27" i="3"/>
  <c r="F27" i="3"/>
  <c r="J23" i="3"/>
  <c r="H23" i="3"/>
  <c r="F21" i="3"/>
  <c r="F19" i="3"/>
  <c r="AG36" i="2"/>
  <c r="AL36" i="2" s="1"/>
  <c r="Z55" i="2"/>
  <c r="AG55" i="2" s="1"/>
  <c r="AL55" i="2" s="1"/>
  <c r="F58" i="2"/>
  <c r="Z54" i="2"/>
  <c r="AC54" i="2"/>
  <c r="B29" i="3" l="1"/>
  <c r="B27" i="3"/>
  <c r="B25" i="3"/>
  <c r="Z45" i="2"/>
  <c r="AG45" i="2" s="1"/>
  <c r="AL45" i="2" s="1"/>
  <c r="AG34" i="2"/>
  <c r="AL34" i="2" s="1"/>
  <c r="B23" i="3"/>
  <c r="B21" i="3"/>
  <c r="Z53" i="2"/>
  <c r="AG22" i="2" l="1"/>
  <c r="AL22" i="2" s="1"/>
  <c r="Z44" i="2" l="1"/>
  <c r="AG44" i="2" s="1"/>
  <c r="AL44" i="2" s="1"/>
  <c r="Z59" i="2"/>
  <c r="Z58" i="2" s="1"/>
  <c r="AG58" i="2" s="1"/>
  <c r="AL58" i="2" s="1"/>
  <c r="D28" i="4"/>
  <c r="Z47" i="2" s="1"/>
  <c r="AG47" i="2" s="1"/>
  <c r="AL47" i="2" s="1"/>
  <c r="Z42" i="2"/>
  <c r="Z46" i="2"/>
  <c r="AG48" i="2"/>
  <c r="AL48" i="2" s="1"/>
  <c r="Z43" i="2"/>
  <c r="AG43" i="2" s="1"/>
  <c r="AL43" i="2" s="1"/>
  <c r="C57" i="4"/>
  <c r="C54" i="4"/>
  <c r="D42" i="4"/>
  <c r="D31" i="4"/>
  <c r="D24" i="4"/>
  <c r="D23" i="4"/>
  <c r="D22" i="4"/>
  <c r="D26" i="4" s="1"/>
  <c r="D18" i="4"/>
  <c r="D16" i="4"/>
  <c r="C12" i="4"/>
  <c r="C14" i="4" s="1"/>
  <c r="C11" i="4"/>
  <c r="D6" i="4"/>
  <c r="D5" i="4"/>
  <c r="D4" i="4"/>
  <c r="D3" i="4"/>
  <c r="D8" i="4" s="1"/>
  <c r="AG59" i="2" l="1"/>
  <c r="AL59" i="2" s="1"/>
  <c r="Z57" i="2"/>
  <c r="AG57" i="2" s="1"/>
  <c r="AL57" i="2" s="1"/>
  <c r="AG35" i="2"/>
  <c r="AL35" i="2" s="1"/>
  <c r="AG33" i="2"/>
  <c r="Z31" i="2"/>
  <c r="AG31" i="2" s="1"/>
  <c r="AL31" i="2" s="1"/>
  <c r="AG30" i="2"/>
  <c r="AL30" i="2" s="1"/>
  <c r="AG40" i="2"/>
  <c r="AL40" i="2" s="1"/>
  <c r="AG39" i="2"/>
  <c r="AG46" i="2"/>
  <c r="AL46" i="2" s="1"/>
  <c r="AG42" i="2"/>
  <c r="AG52" i="2"/>
  <c r="AG53" i="2"/>
  <c r="AG56" i="2"/>
  <c r="AL56" i="2" s="1"/>
  <c r="AG51" i="2"/>
  <c r="AL51" i="2" s="1"/>
  <c r="AG32" i="2" l="1"/>
  <c r="AG50" i="2"/>
  <c r="AL33" i="2"/>
  <c r="AG41" i="2"/>
  <c r="AL42" i="2"/>
  <c r="AL41" i="2" s="1"/>
  <c r="D27" i="3" s="1"/>
  <c r="AG38" i="2"/>
  <c r="AL39" i="2"/>
  <c r="AL38" i="2" s="1"/>
  <c r="D25" i="3" s="1"/>
  <c r="AL53" i="2"/>
  <c r="AL60" i="2"/>
  <c r="AL52" i="2"/>
  <c r="B19" i="3"/>
  <c r="C12" i="3"/>
  <c r="C11" i="3"/>
  <c r="Q27" i="3" l="1"/>
  <c r="Q25" i="3"/>
  <c r="D23" i="3"/>
  <c r="AL32" i="2"/>
  <c r="AL50" i="2"/>
  <c r="D29" i="3" s="1"/>
  <c r="Q29" i="3" l="1"/>
  <c r="Q23" i="3"/>
  <c r="AG25" i="2" l="1"/>
  <c r="AL25" i="2" s="1"/>
  <c r="AG24" i="2"/>
  <c r="AL24" i="2" s="1"/>
  <c r="AG23" i="2"/>
  <c r="AL23" i="2" s="1"/>
  <c r="AG21" i="2"/>
  <c r="AL21" i="2" s="1"/>
  <c r="AG20" i="2"/>
  <c r="AL20" i="2" s="1"/>
  <c r="AG19" i="2"/>
  <c r="AG18" i="2" l="1"/>
  <c r="AL19" i="2"/>
  <c r="AL18" i="2" s="1"/>
  <c r="D19" i="3" s="1"/>
  <c r="Z29" i="2"/>
  <c r="AG29" i="2" s="1"/>
  <c r="AL29" i="2" s="1"/>
  <c r="Q19" i="3" l="1"/>
  <c r="Z28" i="2"/>
  <c r="AG28" i="2" s="1"/>
  <c r="AG27" i="2" s="1"/>
  <c r="AG62" i="2" l="1"/>
  <c r="AL28" i="2"/>
  <c r="AL27" i="2" s="1"/>
  <c r="AQ62" i="2"/>
  <c r="AL62" i="2" l="1"/>
  <c r="D21" i="3"/>
  <c r="AV62" i="2"/>
  <c r="Q21" i="3" l="1"/>
  <c r="T39" i="3"/>
  <c r="D28" i="3" l="1"/>
  <c r="D26" i="3"/>
  <c r="D24" i="3"/>
  <c r="D30" i="3"/>
  <c r="D20" i="3"/>
  <c r="D22" i="3"/>
  <c r="Q39" i="3"/>
  <c r="R21" i="3" s="1"/>
  <c r="G39" i="3" l="1"/>
  <c r="G40" i="3" s="1"/>
  <c r="I39" i="3"/>
  <c r="I40" i="3" s="1"/>
  <c r="E39" i="3"/>
  <c r="O39" i="3"/>
  <c r="M39" i="3"/>
  <c r="K39" i="3"/>
  <c r="R27" i="3"/>
  <c r="R35" i="3"/>
  <c r="R33" i="3"/>
  <c r="R25" i="3"/>
  <c r="Q41" i="3"/>
  <c r="R31" i="3"/>
  <c r="R23" i="3"/>
  <c r="R29" i="3"/>
  <c r="R19" i="3"/>
  <c r="P39" i="3" l="1"/>
  <c r="O40" i="3"/>
  <c r="R39" i="3"/>
  <c r="E40" i="3"/>
  <c r="F39" i="3"/>
  <c r="L39" i="3"/>
  <c r="K40" i="3"/>
  <c r="M40" i="3"/>
  <c r="N39" i="3"/>
  <c r="E41" i="3" l="1"/>
  <c r="H39" i="3"/>
  <c r="J39" i="3" l="1"/>
  <c r="I41" i="3" s="1"/>
  <c r="K41" i="3" s="1"/>
  <c r="M41" i="3" s="1"/>
  <c r="O41" i="3" s="1"/>
  <c r="G41" i="3"/>
</calcChain>
</file>

<file path=xl/sharedStrings.xml><?xml version="1.0" encoding="utf-8"?>
<sst xmlns="http://schemas.openxmlformats.org/spreadsheetml/2006/main" count="202" uniqueCount="150">
  <si>
    <t>Discriminação dos serviços do Orçamento</t>
  </si>
  <si>
    <t>Unid</t>
  </si>
  <si>
    <t>Observações</t>
  </si>
  <si>
    <t>SERVIÇOS</t>
  </si>
  <si>
    <t>44.03.470</t>
  </si>
  <si>
    <t>Torneira de parede para pia com bica móvel e arejador, em latão fundido cromado</t>
  </si>
  <si>
    <t>30.01.040</t>
  </si>
  <si>
    <t>Barra de apoio reta, para pessoas com mobilidade reduzida, em tubo de aço inoxidável de 1 1/2´ x 900 mm</t>
  </si>
  <si>
    <t>44.03.360</t>
  </si>
  <si>
    <t>Ducha higiênica cromada</t>
  </si>
  <si>
    <t>26.01.020</t>
  </si>
  <si>
    <t>M2</t>
  </si>
  <si>
    <t>26.01.080</t>
  </si>
  <si>
    <t>14.10.111</t>
  </si>
  <si>
    <t>Alvenaria de bloco de concreto de vedação de 14 x 19 x 39 cm - classe C</t>
  </si>
  <si>
    <t>Qtde</t>
  </si>
  <si>
    <t>34.05.260</t>
  </si>
  <si>
    <t>Gradil em aço galvanizado eletrofundido, malha 65 x 132 mm, e pintura eletrostática</t>
  </si>
  <si>
    <t>34.02.100</t>
  </si>
  <si>
    <t>Plantio de grama esmeralda em placas (jardins e canteiros)</t>
  </si>
  <si>
    <t>11.18.040</t>
  </si>
  <si>
    <t>Vidro liso transparente de 3 mm - 18 unidades 15x75cm</t>
  </si>
  <si>
    <t>Vidro liso transparente de 6 mm - 1 unidade 1,65x0,45cm</t>
  </si>
  <si>
    <t>43.02.180</t>
  </si>
  <si>
    <t>Ducha multitemperaturas, com regulagem de inclinação, de 7.500 W - 220 V</t>
  </si>
  <si>
    <t>Torneira para lavatório em latão fundido cromado, DN= 1/2´</t>
  </si>
  <si>
    <t>44.03.460</t>
  </si>
  <si>
    <t>APARELHOS SANITÁRIOS</t>
  </si>
  <si>
    <t>ESQUADRIAS</t>
  </si>
  <si>
    <t>PAVIMENTAÇÃO E JARDINAGEM</t>
  </si>
  <si>
    <t>Preço Unit (R$)</t>
  </si>
  <si>
    <t>Preço total (R$)</t>
  </si>
  <si>
    <t>Preço total com BDI (R$)</t>
  </si>
  <si>
    <t>Data</t>
  </si>
  <si>
    <t>Base</t>
  </si>
  <si>
    <t>CPOS 172</t>
  </si>
  <si>
    <t>OBJETO: EXECUÇÃO DE MURO, PAVIMENTAÇÃO E REPAROS GERAIS NA CRECHE LAURA SORENSE MARTUCCI</t>
  </si>
  <si>
    <t>LOCAL: R.Wilson Barbosa Braga , Vista da Colina - Aguaí-SP</t>
  </si>
  <si>
    <t>BDI</t>
  </si>
  <si>
    <t>INSTALAÇÕES ELÉTRICAS</t>
  </si>
  <si>
    <t>PREFEITURA MUNICIPAL DE AGUAÍ</t>
  </si>
  <si>
    <t>SECRETARIA MUNICIPAL DE PLANEJAMENTO, SERVIÇOS URBANOS E MEIO AMBIENTE</t>
  </si>
  <si>
    <t>ITEM</t>
  </si>
  <si>
    <t>Cliente     :</t>
  </si>
  <si>
    <t>Prefeitura Municipal de Aguaí</t>
  </si>
  <si>
    <t>Calculista</t>
  </si>
  <si>
    <t>Local        :</t>
  </si>
  <si>
    <t>Obra         :</t>
  </si>
  <si>
    <t>Municipio :</t>
  </si>
  <si>
    <t>SERVIÇOS A EXECUTAR</t>
  </si>
  <si>
    <t>DISCRIMINAÇÃO</t>
  </si>
  <si>
    <t>DOS</t>
  </si>
  <si>
    <t>1º MES</t>
  </si>
  <si>
    <t>2º MES</t>
  </si>
  <si>
    <t>3º MES</t>
  </si>
  <si>
    <t>4º MES</t>
  </si>
  <si>
    <t>5º MES</t>
  </si>
  <si>
    <t>6º MES</t>
  </si>
  <si>
    <t xml:space="preserve">VALOR DOS  </t>
  </si>
  <si>
    <t>PESO</t>
  </si>
  <si>
    <t>Parc. %</t>
  </si>
  <si>
    <t>Acum. %</t>
  </si>
  <si>
    <t>SERVIÇOS (R$)</t>
  </si>
  <si>
    <t>%</t>
  </si>
  <si>
    <t>TOTAL EM %</t>
  </si>
  <si>
    <t>PARCELA MENSAL EM R$</t>
  </si>
  <si>
    <t>PARCELA ACUMULADA EM R$</t>
  </si>
  <si>
    <t>MURO DE DIVISA</t>
  </si>
  <si>
    <t>49.06.190</t>
  </si>
  <si>
    <t>M</t>
  </si>
  <si>
    <t>Grelha pré-moldada em concreto, com furos redondos (20x54cm)</t>
  </si>
  <si>
    <t xml:space="preserve">UN </t>
  </si>
  <si>
    <t>23.20.340</t>
  </si>
  <si>
    <t>Folha de porta lisa comum, 90 x 210 cm</t>
  </si>
  <si>
    <t>25.20.020</t>
  </si>
  <si>
    <t>Tela de proteção tipo mosqueteira removível, em fibra de vidro com revestimento em PVC e requadro em alumínio</t>
  </si>
  <si>
    <t>EXECUÇÃO E COMPACTAÇÃO DE ATERRO COM SOLO PREDOMINANTEMENTE ARGILOSO EXCLUSIVE ESCAVAÇÃO, CARGA E TRANSPORTE E SOLO. AF_09/2017</t>
  </si>
  <si>
    <t>M3</t>
  </si>
  <si>
    <t>33.10.020</t>
  </si>
  <si>
    <t>Tinta látex em massa, inclusive preparo</t>
  </si>
  <si>
    <t>33.11.020</t>
  </si>
  <si>
    <t>Esmalte em superfície metálica, inclusive preparo</t>
  </si>
  <si>
    <t>44.03.400</t>
  </si>
  <si>
    <t>Torneira curta com rosca para uso geral, em latão fundido cromado, DN= 3/4´</t>
  </si>
  <si>
    <t>EXECUÇÃO DE MURO EM BLOCO APARENTE</t>
  </si>
  <si>
    <t>COMPRIMENTO</t>
  </si>
  <si>
    <t>ALTURA</t>
  </si>
  <si>
    <t>TOTAL (m2)</t>
  </si>
  <si>
    <t>TOTAL:</t>
  </si>
  <si>
    <t>PINTURA LATEX</t>
  </si>
  <si>
    <t>ÁREA(M2)</t>
  </si>
  <si>
    <t>MURO NOVO</t>
  </si>
  <si>
    <t>MURO EXISTENTE</t>
  </si>
  <si>
    <t>OBS.INTERNO E EXTERNO</t>
  </si>
  <si>
    <t>PORTAO DE PAINEL METALICO (m2)</t>
  </si>
  <si>
    <t>PINTURA COM TINTA ESMALTE DO PORTÃO METALICO  (CINZA)(m2)</t>
  </si>
  <si>
    <t>EXECUÇÃO DE GRADIL TIPO PARQUE</t>
  </si>
  <si>
    <t>TOTAL</t>
  </si>
  <si>
    <t>PORTAO DE GRADIL</t>
  </si>
  <si>
    <t>CONSIDERAR INSTALAÇÃO DE PORTAO ELETRONICO/INTERFONE</t>
  </si>
  <si>
    <t>PINTURA COM TINTA ESMALTE DO GRADIL (CINZA)(m2)</t>
  </si>
  <si>
    <t>REBAIXAMENTO DE GUIA DE MEIO FIO (metros)</t>
  </si>
  <si>
    <t>INSTALAÇÃO DE VENTILADORES</t>
  </si>
  <si>
    <t>28UNID</t>
  </si>
  <si>
    <t>PINTURA DE PISO EM CONCRETO</t>
  </si>
  <si>
    <t>CALÇADA LATERAL</t>
  </si>
  <si>
    <t>RAMPA</t>
  </si>
  <si>
    <t>ENTRADA</t>
  </si>
  <si>
    <t>MOVIMENTAÇÃO DE TERRA PARA PLANTIO DE GRAMA E RAMPA</t>
  </si>
  <si>
    <t>24,00m3</t>
  </si>
  <si>
    <t>GRAMA ESMERALDA</t>
  </si>
  <si>
    <t xml:space="preserve">ESPALHAMENTO DE BRITA </t>
  </si>
  <si>
    <t xml:space="preserve">ESTACIONAMENTO </t>
  </si>
  <si>
    <t>34.05.350</t>
  </si>
  <si>
    <t>Portão de abrir em gradil eletrofundido, malha 5 x 15 cm</t>
  </si>
  <si>
    <t>PINTURA INTERNA E EXTERNA</t>
  </si>
  <si>
    <t>03.01.020</t>
  </si>
  <si>
    <t>54.06.040</t>
  </si>
  <si>
    <t>Guia pré-moldada reta tipo PMSP 100 - fck 25 Mpa</t>
  </si>
  <si>
    <t>66.02.130</t>
  </si>
  <si>
    <t>Porteiro eletrônico com um interfone</t>
  </si>
  <si>
    <t>24.02.060</t>
  </si>
  <si>
    <t>Porta/portão de abrir em chapa, sob medida</t>
  </si>
  <si>
    <t xml:space="preserve"> LUMINARIA DE EMERGENCIA 30 LEDS, POTENCIA 2 W, BATERIA DE LITIO, AUTONOMIA DE 6 HORAS</t>
  </si>
  <si>
    <t xml:space="preserve"> CAIXA DE PASSAGEM DE PAREDE, DE EMBUTIR, EM PVC, DIMENSOES *120 X 120 X 75* MM </t>
  </si>
  <si>
    <t>30.01.010</t>
  </si>
  <si>
    <t>Barra de apoio reta, para pessoas com mobilidade reduzida, em tubo de aço inoxidável de 1 1/2´ - Para lavatório 51x63x51cm</t>
  </si>
  <si>
    <t>SINAPI 39810</t>
  </si>
  <si>
    <t>SINAPI 38774</t>
  </si>
  <si>
    <t>SINAPI 96385</t>
  </si>
  <si>
    <t>Demolição manual de concreto simples (calçada e guia -rebaixamento)</t>
  </si>
  <si>
    <t>Tinta látex em massa, inclusive preparo (interna)</t>
  </si>
  <si>
    <t>Tinta látex em massa, inclusive preparo (externa)</t>
  </si>
  <si>
    <t>Esmalte em superfície metálica, inclusive preparo (portões e gradil)</t>
  </si>
  <si>
    <t>Lastro de pedra britada (estacionamento, e=10cm)</t>
  </si>
  <si>
    <t>EXECUÇÃO DE PASSEIO (CALÇADA) COM CONCRETO MOLDADO IN LOCO, FEITO EM OBRA, ACABAMENTO CONVENCIONAL, NÃO ARMADO. AF_07/2016</t>
  </si>
  <si>
    <t>EXECUÇÃO DE PISO DE CONCRETO COM CONCRETO MOLDADO IN LOCO, FEITO EM OBRA, ACABAMENTO CONVENCIONAL, NÃO ARMADO. AF_07/2016 (rampa de acesso)</t>
  </si>
  <si>
    <t>SINAPI 94990</t>
  </si>
  <si>
    <t>PINTURA DE SUPERFICIE C/TINTA GRAFITE (calçada interna existente, rampa a executar)</t>
  </si>
  <si>
    <t>32.07.160</t>
  </si>
  <si>
    <t>Junta de dilatação elástica a base de poliuretano</t>
  </si>
  <si>
    <t>CM3</t>
  </si>
  <si>
    <t>Janaina Albuquerque Alves</t>
  </si>
  <si>
    <t>Engenheira Civil CREA 5069702073</t>
  </si>
  <si>
    <t>Aguai, 20 de julho de 2018</t>
  </si>
  <si>
    <t>Aguaí - SP</t>
  </si>
  <si>
    <t>SINPI MAI/2018</t>
  </si>
  <si>
    <t>Data 13/07/18</t>
  </si>
  <si>
    <t>ANEXO II - PLANILHA ORÇAMENTÁRIA</t>
  </si>
  <si>
    <t>ANEXO III - CRONOGRAMA FISÍCO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</si>
</sst>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 &quot;\ \ #,##0.00"/>
    <numFmt numFmtId="166" formatCode="0.0%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b/>
      <sz val="14"/>
      <name val="Arial"/>
      <family val="2"/>
      <charset val="1"/>
    </font>
    <font>
      <b/>
      <i/>
      <sz val="14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trike/>
      <sz val="12"/>
      <name val="Arial"/>
      <family val="2"/>
      <charset val="1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44" fontId="21" fillId="0" borderId="0" applyFont="0" applyFill="0" applyBorder="0" applyAlignment="0" applyProtection="0"/>
  </cellStyleXfs>
  <cellXfs count="297">
    <xf numFmtId="0" fontId="0" fillId="0" borderId="0" xfId="0"/>
    <xf numFmtId="0" fontId="4" fillId="0" borderId="0" xfId="0" applyFont="1" applyProtection="1"/>
    <xf numFmtId="0" fontId="4" fillId="0" borderId="0" xfId="0" applyFont="1" applyBorder="1" applyProtection="1"/>
    <xf numFmtId="0" fontId="5" fillId="0" borderId="0" xfId="0" applyFont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4" fillId="0" borderId="4" xfId="0" applyFont="1" applyBorder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14" fontId="6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right"/>
    </xf>
    <xf numFmtId="0" fontId="4" fillId="3" borderId="5" xfId="0" applyFont="1" applyFill="1" applyBorder="1" applyProtection="1"/>
    <xf numFmtId="0" fontId="4" fillId="3" borderId="6" xfId="0" applyFont="1" applyFill="1" applyBorder="1" applyProtection="1"/>
    <xf numFmtId="0" fontId="4" fillId="3" borderId="3" xfId="0" applyFont="1" applyFill="1" applyBorder="1" applyProtection="1"/>
    <xf numFmtId="0" fontId="4" fillId="3" borderId="4" xfId="0" applyFont="1" applyFill="1" applyBorder="1" applyProtection="1"/>
    <xf numFmtId="164" fontId="2" fillId="0" borderId="0" xfId="2" applyFont="1" applyBorder="1" applyAlignment="1" applyProtection="1"/>
    <xf numFmtId="10" fontId="4" fillId="0" borderId="0" xfId="1" applyNumberFormat="1" applyFont="1" applyBorder="1" applyAlignment="1" applyProtection="1"/>
    <xf numFmtId="0" fontId="4" fillId="0" borderId="0" xfId="0" applyFont="1" applyBorder="1" applyAlignment="1" applyProtection="1">
      <alignment vertical="top" wrapText="1"/>
    </xf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Border="1" applyProtection="1"/>
    <xf numFmtId="14" fontId="3" fillId="2" borderId="4" xfId="0" applyNumberFormat="1" applyFont="1" applyFill="1" applyBorder="1" applyAlignment="1" applyProtection="1">
      <alignment horizontal="left"/>
      <protection locked="0"/>
    </xf>
    <xf numFmtId="14" fontId="3" fillId="2" borderId="9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Fill="1" applyBorder="1" applyAlignment="1" applyProtection="1">
      <alignment horizontal="left"/>
    </xf>
    <xf numFmtId="14" fontId="3" fillId="0" borderId="9" xfId="0" applyNumberFormat="1" applyFont="1" applyFill="1" applyBorder="1" applyAlignment="1" applyProtection="1">
      <alignment horizontal="left"/>
    </xf>
    <xf numFmtId="10" fontId="4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14" fontId="3" fillId="2" borderId="4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hidden="1"/>
    </xf>
    <xf numFmtId="0" fontId="12" fillId="0" borderId="0" xfId="0" applyFont="1" applyBorder="1" applyAlignment="1"/>
    <xf numFmtId="0" fontId="14" fillId="0" borderId="19" xfId="0" applyFont="1" applyBorder="1" applyAlignment="1">
      <alignment horizontal="right" vertical="top"/>
    </xf>
    <xf numFmtId="2" fontId="15" fillId="0" borderId="27" xfId="0" applyNumberFormat="1" applyFont="1" applyBorder="1" applyAlignment="1" applyProtection="1">
      <alignment horizontal="right" vertical="center"/>
    </xf>
    <xf numFmtId="2" fontId="15" fillId="0" borderId="12" xfId="0" applyNumberFormat="1" applyFont="1" applyBorder="1" applyAlignment="1" applyProtection="1">
      <alignment horizontal="center" vertical="center"/>
    </xf>
    <xf numFmtId="2" fontId="15" fillId="0" borderId="29" xfId="0" applyNumberFormat="1" applyFont="1" applyBorder="1" applyAlignment="1" applyProtection="1">
      <alignment horizontal="right" vertical="center"/>
    </xf>
    <xf numFmtId="4" fontId="14" fillId="0" borderId="30" xfId="0" applyNumberFormat="1" applyFont="1" applyBorder="1" applyAlignment="1" applyProtection="1">
      <alignment horizontal="center" vertical="center"/>
    </xf>
    <xf numFmtId="4" fontId="14" fillId="0" borderId="12" xfId="0" applyNumberFormat="1" applyFont="1" applyBorder="1" applyAlignment="1" applyProtection="1">
      <alignment horizontal="center" vertical="center"/>
      <protection locked="0"/>
    </xf>
    <xf numFmtId="4" fontId="15" fillId="5" borderId="12" xfId="0" applyNumberFormat="1" applyFont="1" applyFill="1" applyBorder="1" applyAlignment="1" applyProtection="1">
      <alignment horizontal="center" vertical="center"/>
    </xf>
    <xf numFmtId="4" fontId="14" fillId="0" borderId="12" xfId="0" applyNumberFormat="1" applyFont="1" applyBorder="1" applyAlignment="1" applyProtection="1">
      <alignment horizontal="center" vertical="center"/>
    </xf>
    <xf numFmtId="4" fontId="15" fillId="4" borderId="12" xfId="0" applyNumberFormat="1" applyFont="1" applyFill="1" applyBorder="1" applyAlignment="1" applyProtection="1">
      <alignment horizontal="center" vertical="center"/>
    </xf>
    <xf numFmtId="4" fontId="9" fillId="0" borderId="30" xfId="0" applyNumberFormat="1" applyFont="1" applyBorder="1" applyAlignment="1" applyProtection="1">
      <alignment horizontal="left" vertical="center"/>
    </xf>
    <xf numFmtId="4" fontId="14" fillId="0" borderId="32" xfId="0" applyNumberFormat="1" applyFont="1" applyBorder="1" applyAlignment="1" applyProtection="1">
      <alignment horizontal="center" vertical="center"/>
    </xf>
    <xf numFmtId="4" fontId="15" fillId="5" borderId="32" xfId="0" applyNumberFormat="1" applyFont="1" applyFill="1" applyBorder="1" applyAlignment="1" applyProtection="1">
      <alignment horizontal="center" vertical="center"/>
    </xf>
    <xf numFmtId="4" fontId="17" fillId="5" borderId="14" xfId="0" applyNumberFormat="1" applyFont="1" applyFill="1" applyBorder="1" applyAlignment="1">
      <alignment horizontal="right" vertical="center"/>
    </xf>
    <xf numFmtId="0" fontId="9" fillId="0" borderId="13" xfId="0" applyFont="1" applyBorder="1" applyAlignment="1" applyProtection="1">
      <alignment horizontal="left" vertical="center"/>
    </xf>
    <xf numFmtId="4" fontId="18" fillId="5" borderId="30" xfId="0" applyNumberFormat="1" applyFont="1" applyFill="1" applyBorder="1" applyAlignment="1" applyProtection="1">
      <alignment horizontal="right" vertical="center"/>
    </xf>
    <xf numFmtId="165" fontId="3" fillId="2" borderId="3" xfId="0" applyNumberFormat="1" applyFont="1" applyFill="1" applyBorder="1" applyAlignment="1" applyProtection="1">
      <alignment horizontal="right"/>
      <protection locked="0"/>
    </xf>
    <xf numFmtId="0" fontId="19" fillId="0" borderId="33" xfId="0" applyFont="1" applyBorder="1"/>
    <xf numFmtId="0" fontId="0" fillId="0" borderId="33" xfId="0" applyBorder="1"/>
    <xf numFmtId="0" fontId="0" fillId="0" borderId="0" xfId="0" applyBorder="1"/>
    <xf numFmtId="0" fontId="19" fillId="0" borderId="33" xfId="0" applyFont="1" applyBorder="1" applyAlignment="1"/>
    <xf numFmtId="14" fontId="3" fillId="2" borderId="4" xfId="0" applyNumberFormat="1" applyFont="1" applyFill="1" applyBorder="1" applyAlignment="1" applyProtection="1">
      <alignment horizontal="center"/>
      <protection locked="0"/>
    </xf>
    <xf numFmtId="0" fontId="20" fillId="0" borderId="33" xfId="3" applyFont="1" applyFill="1" applyBorder="1"/>
    <xf numFmtId="0" fontId="20" fillId="0" borderId="33" xfId="3" applyFont="1" applyBorder="1"/>
    <xf numFmtId="0" fontId="1" fillId="3" borderId="3" xfId="0" applyFont="1" applyFill="1" applyBorder="1" applyProtection="1"/>
    <xf numFmtId="0" fontId="1" fillId="3" borderId="4" xfId="0" applyFont="1" applyFill="1" applyBorder="1" applyProtection="1"/>
    <xf numFmtId="0" fontId="1" fillId="3" borderId="3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left"/>
    </xf>
    <xf numFmtId="0" fontId="1" fillId="3" borderId="9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164" fontId="1" fillId="0" borderId="7" xfId="2" applyFont="1" applyFill="1" applyBorder="1" applyAlignment="1" applyProtection="1">
      <alignment horizontal="center"/>
    </xf>
    <xf numFmtId="164" fontId="1" fillId="0" borderId="8" xfId="2" applyFont="1" applyFill="1" applyBorder="1" applyAlignment="1" applyProtection="1">
      <alignment horizontal="center"/>
    </xf>
    <xf numFmtId="164" fontId="1" fillId="0" borderId="10" xfId="2" applyFont="1" applyFill="1" applyBorder="1" applyAlignment="1" applyProtection="1">
      <alignment horizontal="center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4" fontId="1" fillId="6" borderId="7" xfId="0" applyNumberFormat="1" applyFont="1" applyFill="1" applyBorder="1" applyAlignment="1" applyProtection="1">
      <alignment horizontal="right"/>
      <protection locked="0"/>
    </xf>
    <xf numFmtId="4" fontId="1" fillId="6" borderId="8" xfId="0" applyNumberFormat="1" applyFont="1" applyFill="1" applyBorder="1" applyAlignment="1" applyProtection="1">
      <alignment horizontal="right"/>
      <protection locked="0"/>
    </xf>
    <xf numFmtId="4" fontId="1" fillId="6" borderId="10" xfId="0" applyNumberFormat="1" applyFont="1" applyFill="1" applyBorder="1" applyAlignment="1" applyProtection="1">
      <alignment horizontal="right"/>
      <protection locked="0"/>
    </xf>
    <xf numFmtId="164" fontId="1" fillId="6" borderId="7" xfId="2" applyFont="1" applyFill="1" applyBorder="1" applyAlignment="1" applyProtection="1">
      <alignment horizontal="center"/>
      <protection locked="0"/>
    </xf>
    <xf numFmtId="164" fontId="1" fillId="6" borderId="8" xfId="2" applyFont="1" applyFill="1" applyBorder="1" applyAlignment="1" applyProtection="1">
      <alignment horizontal="center"/>
      <protection locked="0"/>
    </xf>
    <xf numFmtId="164" fontId="1" fillId="6" borderId="10" xfId="2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4" fontId="1" fillId="0" borderId="7" xfId="0" applyNumberFormat="1" applyFont="1" applyFill="1" applyBorder="1" applyAlignment="1" applyProtection="1">
      <alignment horizontal="right"/>
      <protection locked="0"/>
    </xf>
    <xf numFmtId="4" fontId="1" fillId="0" borderId="8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7" xfId="2" applyFont="1" applyFill="1" applyBorder="1" applyAlignment="1" applyProtection="1">
      <alignment horizontal="center"/>
      <protection locked="0"/>
    </xf>
    <xf numFmtId="164" fontId="1" fillId="0" borderId="8" xfId="2" applyFont="1" applyFill="1" applyBorder="1" applyAlignment="1" applyProtection="1">
      <alignment horizontal="center"/>
      <protection locked="0"/>
    </xf>
    <xf numFmtId="164" fontId="1" fillId="0" borderId="10" xfId="2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right"/>
    </xf>
    <xf numFmtId="164" fontId="1" fillId="0" borderId="8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</xf>
    <xf numFmtId="0" fontId="3" fillId="6" borderId="7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4" fontId="3" fillId="6" borderId="7" xfId="0" applyNumberFormat="1" applyFont="1" applyFill="1" applyBorder="1" applyAlignment="1" applyProtection="1">
      <alignment horizontal="right"/>
      <protection locked="0"/>
    </xf>
    <xf numFmtId="4" fontId="3" fillId="6" borderId="8" xfId="0" applyNumberFormat="1" applyFont="1" applyFill="1" applyBorder="1" applyAlignment="1" applyProtection="1">
      <alignment horizontal="right"/>
      <protection locked="0"/>
    </xf>
    <xf numFmtId="4" fontId="3" fillId="6" borderId="10" xfId="0" applyNumberFormat="1" applyFont="1" applyFill="1" applyBorder="1" applyAlignment="1" applyProtection="1">
      <alignment horizontal="right"/>
      <protection locked="0"/>
    </xf>
    <xf numFmtId="164" fontId="3" fillId="6" borderId="7" xfId="2" applyFont="1" applyFill="1" applyBorder="1" applyAlignment="1" applyProtection="1">
      <alignment horizontal="center"/>
      <protection locked="0"/>
    </xf>
    <xf numFmtId="164" fontId="3" fillId="6" borderId="8" xfId="2" applyFont="1" applyFill="1" applyBorder="1" applyAlignment="1" applyProtection="1">
      <alignment horizontal="center"/>
      <protection locked="0"/>
    </xf>
    <xf numFmtId="164" fontId="3" fillId="6" borderId="10" xfId="2" applyFont="1" applyFill="1" applyBorder="1" applyAlignment="1" applyProtection="1">
      <alignment horizontal="center"/>
      <protection locked="0"/>
    </xf>
    <xf numFmtId="164" fontId="3" fillId="0" borderId="7" xfId="2" applyFont="1" applyFill="1" applyBorder="1" applyAlignment="1" applyProtection="1">
      <alignment horizontal="center"/>
    </xf>
    <xf numFmtId="164" fontId="3" fillId="0" borderId="8" xfId="2" applyFont="1" applyFill="1" applyBorder="1" applyAlignment="1" applyProtection="1">
      <alignment horizontal="center"/>
    </xf>
    <xf numFmtId="164" fontId="3" fillId="0" borderId="10" xfId="2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/>
    <xf numFmtId="164" fontId="1" fillId="0" borderId="0" xfId="2" applyFont="1" applyBorder="1" applyAlignment="1" applyProtection="1"/>
    <xf numFmtId="0" fontId="1" fillId="0" borderId="0" xfId="0" applyNumberFormat="1" applyFont="1" applyBorder="1" applyAlignment="1" applyProtection="1"/>
    <xf numFmtId="10" fontId="1" fillId="0" borderId="0" xfId="1" applyNumberFormat="1" applyFont="1" applyBorder="1" applyAlignment="1" applyProtection="1"/>
    <xf numFmtId="0" fontId="1" fillId="0" borderId="1" xfId="0" applyFont="1" applyBorder="1" applyAlignme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top" wrapText="1"/>
    </xf>
    <xf numFmtId="164" fontId="1" fillId="0" borderId="2" xfId="2" applyFont="1" applyBorder="1" applyAlignment="1" applyProtection="1"/>
    <xf numFmtId="0" fontId="4" fillId="0" borderId="0" xfId="0" applyFont="1" applyFill="1" applyBorder="1" applyAlignment="1" applyProtection="1">
      <alignment vertical="top" wrapText="1"/>
    </xf>
    <xf numFmtId="10" fontId="4" fillId="0" borderId="6" xfId="1" applyNumberFormat="1" applyFont="1" applyFill="1" applyBorder="1" applyAlignment="1" applyProtection="1">
      <alignment horizontal="left"/>
    </xf>
    <xf numFmtId="10" fontId="4" fillId="0" borderId="0" xfId="1" applyNumberFormat="1" applyFont="1" applyFill="1" applyBorder="1" applyAlignment="1" applyProtection="1"/>
    <xf numFmtId="164" fontId="2" fillId="0" borderId="0" xfId="2" applyFont="1" applyFill="1" applyBorder="1" applyAlignment="1" applyProtection="1"/>
    <xf numFmtId="10" fontId="4" fillId="0" borderId="0" xfId="1" applyNumberFormat="1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" fontId="0" fillId="0" borderId="0" xfId="0" applyNumberFormat="1"/>
    <xf numFmtId="9" fontId="14" fillId="0" borderId="12" xfId="1" applyFont="1" applyBorder="1" applyAlignment="1" applyProtection="1">
      <alignment horizontal="center" vertical="center"/>
      <protection locked="0"/>
    </xf>
    <xf numFmtId="9" fontId="15" fillId="5" borderId="12" xfId="1" applyFont="1" applyFill="1" applyBorder="1" applyAlignment="1" applyProtection="1">
      <alignment horizontal="center" vertical="center"/>
    </xf>
    <xf numFmtId="9" fontId="15" fillId="4" borderId="12" xfId="1" applyFont="1" applyFill="1" applyBorder="1" applyAlignment="1" applyProtection="1">
      <alignment horizontal="center" vertical="center"/>
    </xf>
    <xf numFmtId="10" fontId="14" fillId="0" borderId="12" xfId="1" applyNumberFormat="1" applyFont="1" applyBorder="1" applyAlignment="1" applyProtection="1">
      <alignment horizontal="center" vertical="center"/>
    </xf>
    <xf numFmtId="10" fontId="14" fillId="0" borderId="32" xfId="1" applyNumberFormat="1" applyFont="1" applyBorder="1" applyAlignment="1" applyProtection="1">
      <alignment horizontal="center" vertical="center"/>
    </xf>
    <xf numFmtId="9" fontId="15" fillId="5" borderId="32" xfId="1" applyFont="1" applyFill="1" applyBorder="1" applyAlignment="1" applyProtection="1">
      <alignment horizontal="center" vertical="center"/>
    </xf>
    <xf numFmtId="10" fontId="15" fillId="5" borderId="32" xfId="1" applyNumberFormat="1" applyFont="1" applyFill="1" applyBorder="1" applyAlignment="1" applyProtection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0" borderId="35" xfId="0" applyBorder="1" applyAlignment="1">
      <alignment horizontal="right"/>
    </xf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0" fontId="0" fillId="0" borderId="38" xfId="0" applyBorder="1"/>
    <xf numFmtId="0" fontId="14" fillId="0" borderId="42" xfId="0" applyFont="1" applyBorder="1" applyAlignment="1">
      <alignment horizontal="right"/>
    </xf>
    <xf numFmtId="2" fontId="15" fillId="0" borderId="51" xfId="0" applyNumberFormat="1" applyFont="1" applyBorder="1" applyAlignment="1" applyProtection="1">
      <alignment horizontal="center" vertical="center"/>
    </xf>
    <xf numFmtId="2" fontId="15" fillId="0" borderId="38" xfId="0" applyNumberFormat="1" applyFont="1" applyBorder="1" applyAlignment="1" applyProtection="1">
      <alignment horizontal="center" vertical="center"/>
    </xf>
    <xf numFmtId="4" fontId="17" fillId="5" borderId="56" xfId="0" applyNumberFormat="1" applyFont="1" applyFill="1" applyBorder="1" applyAlignment="1">
      <alignment horizontal="right" vertical="center"/>
    </xf>
    <xf numFmtId="0" fontId="9" fillId="0" borderId="60" xfId="0" applyFont="1" applyBorder="1" applyAlignment="1" applyProtection="1">
      <alignment horizontal="left" vertical="center"/>
    </xf>
    <xf numFmtId="10" fontId="17" fillId="5" borderId="61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7" xfId="0" applyNumberFormat="1" applyFont="1" applyFill="1" applyBorder="1" applyAlignment="1" applyProtection="1">
      <alignment horizontal="right"/>
      <protection locked="0"/>
    </xf>
    <xf numFmtId="4" fontId="1" fillId="0" borderId="8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7" xfId="2" applyFont="1" applyFill="1" applyBorder="1" applyAlignment="1" applyProtection="1">
      <alignment horizontal="center"/>
      <protection locked="0"/>
    </xf>
    <xf numFmtId="164" fontId="1" fillId="0" borderId="8" xfId="2" applyFont="1" applyFill="1" applyBorder="1" applyAlignment="1" applyProtection="1">
      <alignment horizontal="center"/>
      <protection locked="0"/>
    </xf>
    <xf numFmtId="164" fontId="1" fillId="0" borderId="10" xfId="2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right"/>
    </xf>
    <xf numFmtId="164" fontId="1" fillId="0" borderId="8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</xf>
    <xf numFmtId="164" fontId="1" fillId="0" borderId="7" xfId="2" applyFont="1" applyFill="1" applyBorder="1" applyAlignment="1" applyProtection="1">
      <alignment horizontal="center"/>
    </xf>
    <xf numFmtId="164" fontId="1" fillId="0" borderId="8" xfId="2" applyFont="1" applyFill="1" applyBorder="1" applyAlignment="1" applyProtection="1">
      <alignment horizontal="center"/>
    </xf>
    <xf numFmtId="164" fontId="1" fillId="0" borderId="10" xfId="2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left" wrapText="1"/>
      <protection locked="0"/>
    </xf>
    <xf numFmtId="0" fontId="1" fillId="0" borderId="8" xfId="0" applyFont="1" applyFill="1" applyBorder="1" applyAlignment="1" applyProtection="1">
      <alignment horizontal="left" wrapText="1"/>
      <protection locked="0"/>
    </xf>
    <xf numFmtId="0" fontId="1" fillId="0" borderId="10" xfId="0" applyFont="1" applyFill="1" applyBorder="1" applyAlignment="1" applyProtection="1">
      <alignment horizontal="left" wrapText="1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3" fillId="6" borderId="8" xfId="0" applyFont="1" applyFill="1" applyBorder="1" applyAlignment="1" applyProtection="1">
      <alignment horizontal="left"/>
      <protection locked="0"/>
    </xf>
    <xf numFmtId="0" fontId="3" fillId="6" borderId="10" xfId="0" applyFont="1" applyFill="1" applyBorder="1" applyAlignment="1" applyProtection="1">
      <alignment horizontal="left"/>
      <protection locked="0"/>
    </xf>
    <xf numFmtId="164" fontId="3" fillId="6" borderId="7" xfId="0" applyNumberFormat="1" applyFont="1" applyFill="1" applyBorder="1" applyAlignment="1" applyProtection="1">
      <alignment horizontal="right"/>
    </xf>
    <xf numFmtId="164" fontId="3" fillId="6" borderId="8" xfId="0" applyNumberFormat="1" applyFont="1" applyFill="1" applyBorder="1" applyAlignment="1" applyProtection="1">
      <alignment horizontal="right"/>
    </xf>
    <xf numFmtId="164" fontId="3" fillId="6" borderId="10" xfId="0" applyNumberFormat="1" applyFont="1" applyFill="1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wrapText="1"/>
    </xf>
    <xf numFmtId="0" fontId="2" fillId="3" borderId="6" xfId="0" applyFont="1" applyFill="1" applyBorder="1" applyAlignment="1" applyProtection="1">
      <alignment horizontal="center" wrapText="1"/>
    </xf>
    <xf numFmtId="0" fontId="2" fillId="3" borderId="11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2" fillId="3" borderId="9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164" fontId="1" fillId="0" borderId="7" xfId="2" applyFont="1" applyFill="1" applyBorder="1" applyAlignment="1" applyProtection="1">
      <alignment horizontal="right"/>
      <protection locked="0"/>
    </xf>
    <xf numFmtId="164" fontId="1" fillId="0" borderId="8" xfId="2" applyFont="1" applyFill="1" applyBorder="1" applyAlignment="1" applyProtection="1">
      <alignment horizontal="right"/>
      <protection locked="0"/>
    </xf>
    <xf numFmtId="164" fontId="1" fillId="0" borderId="10" xfId="2" applyFont="1" applyFill="1" applyBorder="1" applyAlignment="1" applyProtection="1">
      <alignment horizontal="right"/>
      <protection locked="0"/>
    </xf>
    <xf numFmtId="0" fontId="1" fillId="3" borderId="8" xfId="0" applyNumberFormat="1" applyFont="1" applyFill="1" applyBorder="1" applyAlignment="1" applyProtection="1">
      <alignment horizontal="center"/>
    </xf>
    <xf numFmtId="0" fontId="1" fillId="3" borderId="10" xfId="0" applyNumberFormat="1" applyFont="1" applyFill="1" applyBorder="1" applyAlignment="1" applyProtection="1">
      <alignment horizontal="center"/>
    </xf>
    <xf numFmtId="164" fontId="1" fillId="3" borderId="8" xfId="2" applyFont="1" applyFill="1" applyBorder="1" applyAlignment="1" applyProtection="1">
      <alignment horizontal="right"/>
    </xf>
    <xf numFmtId="0" fontId="1" fillId="3" borderId="7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right"/>
    </xf>
    <xf numFmtId="0" fontId="3" fillId="3" borderId="10" xfId="0" applyFont="1" applyFill="1" applyBorder="1" applyAlignment="1" applyProtection="1">
      <alignment horizontal="right"/>
    </xf>
    <xf numFmtId="164" fontId="3" fillId="7" borderId="7" xfId="2" applyFont="1" applyFill="1" applyBorder="1" applyAlignment="1" applyProtection="1">
      <alignment horizontal="center"/>
    </xf>
    <xf numFmtId="164" fontId="3" fillId="7" borderId="8" xfId="2" applyFont="1" applyFill="1" applyBorder="1" applyAlignment="1" applyProtection="1">
      <alignment horizontal="center"/>
    </xf>
    <xf numFmtId="164" fontId="3" fillId="7" borderId="10" xfId="2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10" fontId="4" fillId="0" borderId="0" xfId="0" applyNumberFormat="1" applyFont="1" applyAlignment="1" applyProtection="1">
      <alignment horizontal="center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164" fontId="1" fillId="0" borderId="7" xfId="0" applyNumberFormat="1" applyFont="1" applyFill="1" applyBorder="1" applyAlignment="1" applyProtection="1">
      <alignment horizontal="center"/>
    </xf>
    <xf numFmtId="164" fontId="1" fillId="0" borderId="8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0" fontId="3" fillId="2" borderId="3" xfId="1" applyNumberFormat="1" applyFont="1" applyFill="1" applyBorder="1" applyAlignment="1" applyProtection="1">
      <alignment horizontal="left"/>
      <protection locked="0"/>
    </xf>
    <xf numFmtId="10" fontId="3" fillId="2" borderId="4" xfId="1" applyNumberFormat="1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4" fontId="1" fillId="6" borderId="7" xfId="0" applyNumberFormat="1" applyFont="1" applyFill="1" applyBorder="1" applyAlignment="1" applyProtection="1">
      <alignment horizontal="right"/>
      <protection locked="0"/>
    </xf>
    <xf numFmtId="4" fontId="1" fillId="6" borderId="8" xfId="0" applyNumberFormat="1" applyFont="1" applyFill="1" applyBorder="1" applyAlignment="1" applyProtection="1">
      <alignment horizontal="right"/>
      <protection locked="0"/>
    </xf>
    <xf numFmtId="4" fontId="1" fillId="6" borderId="10" xfId="0" applyNumberFormat="1" applyFont="1" applyFill="1" applyBorder="1" applyAlignment="1" applyProtection="1">
      <alignment horizontal="right"/>
      <protection locked="0"/>
    </xf>
    <xf numFmtId="164" fontId="1" fillId="6" borderId="7" xfId="2" applyFont="1" applyFill="1" applyBorder="1" applyAlignment="1" applyProtection="1">
      <alignment horizontal="center"/>
      <protection locked="0"/>
    </xf>
    <xf numFmtId="164" fontId="1" fillId="6" borderId="8" xfId="2" applyFont="1" applyFill="1" applyBorder="1" applyAlignment="1" applyProtection="1">
      <alignment horizontal="center"/>
      <protection locked="0"/>
    </xf>
    <xf numFmtId="164" fontId="1" fillId="6" borderId="10" xfId="2" applyFont="1" applyFill="1" applyBorder="1" applyAlignment="1" applyProtection="1">
      <alignment horizontal="center"/>
      <protection locked="0"/>
    </xf>
    <xf numFmtId="14" fontId="3" fillId="2" borderId="3" xfId="0" applyNumberFormat="1" applyFont="1" applyFill="1" applyBorder="1" applyAlignment="1" applyProtection="1">
      <alignment horizontal="center"/>
      <protection locked="0"/>
    </xf>
    <xf numFmtId="14" fontId="3" fillId="2" borderId="4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right" wrapText="1"/>
      <protection locked="0"/>
    </xf>
    <xf numFmtId="0" fontId="3" fillId="2" borderId="9" xfId="0" applyFont="1" applyFill="1" applyBorder="1" applyAlignment="1" applyProtection="1">
      <alignment horizontal="right" wrapText="1"/>
      <protection locked="0"/>
    </xf>
    <xf numFmtId="0" fontId="5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top" wrapText="1"/>
    </xf>
    <xf numFmtId="164" fontId="3" fillId="6" borderId="7" xfId="0" applyNumberFormat="1" applyFont="1" applyFill="1" applyBorder="1" applyAlignment="1" applyProtection="1">
      <alignment horizontal="center"/>
    </xf>
    <xf numFmtId="164" fontId="3" fillId="6" borderId="8" xfId="0" applyNumberFormat="1" applyFont="1" applyFill="1" applyBorder="1" applyAlignment="1" applyProtection="1">
      <alignment horizontal="center"/>
    </xf>
    <xf numFmtId="164" fontId="3" fillId="6" borderId="10" xfId="0" applyNumberFormat="1" applyFont="1" applyFill="1" applyBorder="1" applyAlignment="1" applyProtection="1">
      <alignment horizontal="center"/>
    </xf>
    <xf numFmtId="1" fontId="14" fillId="0" borderId="52" xfId="0" applyNumberFormat="1" applyFont="1" applyBorder="1" applyAlignment="1" applyProtection="1">
      <alignment horizontal="center" vertical="center" wrapText="1"/>
    </xf>
    <xf numFmtId="1" fontId="14" fillId="0" borderId="54" xfId="0" applyNumberFormat="1" applyFont="1" applyBorder="1" applyAlignment="1" applyProtection="1">
      <alignment horizontal="center" vertical="center" wrapText="1"/>
    </xf>
    <xf numFmtId="2" fontId="14" fillId="0" borderId="12" xfId="0" applyNumberFormat="1" applyFont="1" applyBorder="1" applyAlignment="1" applyProtection="1">
      <alignment horizontal="left" vertical="center" wrapText="1"/>
    </xf>
    <xf numFmtId="4" fontId="17" fillId="5" borderId="12" xfId="0" applyNumberFormat="1" applyFont="1" applyFill="1" applyBorder="1" applyAlignment="1">
      <alignment horizontal="right" vertical="center"/>
    </xf>
    <xf numFmtId="2" fontId="17" fillId="0" borderId="53" xfId="0" applyNumberFormat="1" applyFont="1" applyBorder="1" applyAlignment="1" applyProtection="1">
      <alignment horizontal="center" vertical="center"/>
    </xf>
    <xf numFmtId="2" fontId="17" fillId="0" borderId="44" xfId="0" applyNumberFormat="1" applyFont="1" applyBorder="1" applyAlignment="1" applyProtection="1">
      <alignment horizontal="center" vertical="center"/>
    </xf>
    <xf numFmtId="2" fontId="14" fillId="4" borderId="57" xfId="0" applyNumberFormat="1" applyFont="1" applyFill="1" applyBorder="1" applyAlignment="1" applyProtection="1">
      <alignment horizontal="center" vertical="center"/>
    </xf>
    <xf numFmtId="2" fontId="14" fillId="4" borderId="62" xfId="0" applyNumberFormat="1" applyFont="1" applyFill="1" applyBorder="1" applyAlignment="1" applyProtection="1">
      <alignment horizontal="center" vertical="center"/>
    </xf>
    <xf numFmtId="2" fontId="14" fillId="0" borderId="58" xfId="0" applyNumberFormat="1" applyFont="1" applyBorder="1" applyAlignment="1" applyProtection="1">
      <alignment horizontal="left" vertical="center"/>
    </xf>
    <xf numFmtId="2" fontId="14" fillId="0" borderId="59" xfId="0" applyNumberFormat="1" applyFont="1" applyBorder="1" applyAlignment="1" applyProtection="1">
      <alignment horizontal="left" vertical="center"/>
    </xf>
    <xf numFmtId="166" fontId="17" fillId="5" borderId="61" xfId="1" applyNumberFormat="1" applyFont="1" applyFill="1" applyBorder="1" applyAlignment="1" applyProtection="1">
      <alignment horizontal="center" vertical="center"/>
    </xf>
    <xf numFmtId="9" fontId="17" fillId="5" borderId="61" xfId="1" applyFont="1" applyFill="1" applyBorder="1" applyAlignment="1" applyProtection="1">
      <alignment horizontal="center" vertical="center"/>
    </xf>
    <xf numFmtId="4" fontId="17" fillId="5" borderId="61" xfId="0" applyNumberFormat="1" applyFont="1" applyFill="1" applyBorder="1" applyAlignment="1" applyProtection="1">
      <alignment horizontal="center" vertical="center"/>
    </xf>
    <xf numFmtId="44" fontId="14" fillId="5" borderId="12" xfId="6" applyFont="1" applyFill="1" applyBorder="1" applyAlignment="1" applyProtection="1">
      <alignment horizontal="center" vertical="center"/>
    </xf>
    <xf numFmtId="4" fontId="14" fillId="5" borderId="12" xfId="0" applyNumberFormat="1" applyFont="1" applyFill="1" applyBorder="1" applyAlignment="1" applyProtection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2" fontId="15" fillId="0" borderId="49" xfId="0" applyNumberFormat="1" applyFont="1" applyBorder="1" applyAlignment="1" applyProtection="1">
      <alignment horizontal="center" vertical="center"/>
    </xf>
    <xf numFmtId="2" fontId="15" fillId="0" borderId="25" xfId="0" applyNumberFormat="1" applyFont="1" applyBorder="1" applyAlignment="1" applyProtection="1">
      <alignment horizontal="center" vertical="center"/>
    </xf>
    <xf numFmtId="2" fontId="15" fillId="0" borderId="26" xfId="0" applyNumberFormat="1" applyFont="1" applyBorder="1" applyAlignment="1" applyProtection="1">
      <alignment horizontal="center" vertical="center"/>
    </xf>
    <xf numFmtId="2" fontId="15" fillId="0" borderId="50" xfId="0" applyNumberFormat="1" applyFont="1" applyBorder="1" applyAlignment="1" applyProtection="1">
      <alignment horizontal="center" vertical="center"/>
    </xf>
    <xf numFmtId="2" fontId="15" fillId="0" borderId="27" xfId="0" applyNumberFormat="1" applyFont="1" applyBorder="1" applyAlignment="1" applyProtection="1">
      <alignment horizontal="center" vertical="center"/>
    </xf>
    <xf numFmtId="2" fontId="15" fillId="0" borderId="15" xfId="0" applyNumberFormat="1" applyFont="1" applyBorder="1" applyAlignment="1" applyProtection="1">
      <alignment horizontal="center" vertical="center"/>
    </xf>
    <xf numFmtId="2" fontId="15" fillId="0" borderId="28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1" fontId="14" fillId="5" borderId="55" xfId="0" applyNumberFormat="1" applyFont="1" applyFill="1" applyBorder="1" applyAlignment="1" applyProtection="1">
      <alignment horizontal="left" vertical="center"/>
    </xf>
    <xf numFmtId="1" fontId="14" fillId="5" borderId="31" xfId="0" applyNumberFormat="1" applyFont="1" applyFill="1" applyBorder="1" applyAlignment="1" applyProtection="1">
      <alignment horizontal="left" vertical="center"/>
    </xf>
    <xf numFmtId="0" fontId="13" fillId="0" borderId="43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2" fontId="14" fillId="0" borderId="47" xfId="0" applyNumberFormat="1" applyFont="1" applyBorder="1" applyAlignment="1" applyProtection="1">
      <alignment horizontal="center"/>
    </xf>
    <xf numFmtId="2" fontId="14" fillId="0" borderId="24" xfId="0" applyNumberFormat="1" applyFont="1" applyBorder="1" applyAlignment="1" applyProtection="1">
      <alignment horizontal="center"/>
    </xf>
    <xf numFmtId="2" fontId="14" fillId="0" borderId="48" xfId="0" applyNumberFormat="1" applyFont="1" applyBorder="1" applyAlignment="1" applyProtection="1">
      <alignment horizontal="center"/>
    </xf>
    <xf numFmtId="2" fontId="15" fillId="0" borderId="39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2" fontId="15" fillId="0" borderId="4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3" fillId="0" borderId="43" xfId="0" applyFont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vertical="center"/>
      <protection locked="0"/>
    </xf>
    <xf numFmtId="0" fontId="14" fillId="0" borderId="13" xfId="0" applyFont="1" applyBorder="1" applyAlignment="1">
      <alignment horizontal="left" vertical="center"/>
    </xf>
    <xf numFmtId="0" fontId="13" fillId="0" borderId="45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</cellXfs>
  <cellStyles count="7">
    <cellStyle name="Moeda" xfId="6" builtinId="4"/>
    <cellStyle name="Normal" xfId="0" builtinId="0"/>
    <cellStyle name="Normal 2" xfId="3"/>
    <cellStyle name="Normal 4" xfId="4"/>
    <cellStyle name="Normal 5" xfId="5"/>
    <cellStyle name="Porcentagem" xfId="1" builtinId="5"/>
    <cellStyle name="Vírgula" xfId="2" builtinId="3"/>
  </cellStyles>
  <dxfs count="40"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29311</xdr:colOff>
      <xdr:row>1</xdr:row>
      <xdr:rowOff>14655</xdr:rowOff>
    </xdr:from>
    <xdr:to>
      <xdr:col>7</xdr:col>
      <xdr:colOff>39871</xdr:colOff>
      <xdr:row>5</xdr:row>
      <xdr:rowOff>142013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176" y="175847"/>
          <a:ext cx="787214" cy="76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234463</xdr:colOff>
      <xdr:row>0</xdr:row>
      <xdr:rowOff>36635</xdr:rowOff>
    </xdr:from>
    <xdr:to>
      <xdr:col>2</xdr:col>
      <xdr:colOff>193735</xdr:colOff>
      <xdr:row>3</xdr:row>
      <xdr:rowOff>142013</xdr:rowOff>
    </xdr:to>
    <xdr:pic>
      <xdr:nvPicPr>
        <xdr:cNvPr id="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463" y="36635"/>
          <a:ext cx="787214" cy="764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B1:BB77"/>
  <sheetViews>
    <sheetView showGridLines="0" showZeros="0" tabSelected="1" view="pageBreakPreview" topLeftCell="A2" zoomScale="130" zoomScaleNormal="85" zoomScaleSheetLayoutView="130" workbookViewId="0">
      <pane xSplit="1" ySplit="15" topLeftCell="B17" activePane="bottomRight" state="frozen"/>
      <selection activeCell="A2" sqref="A2"/>
      <selection pane="topRight" activeCell="B2" sqref="B2"/>
      <selection pane="bottomLeft" activeCell="A21" sqref="A21"/>
      <selection pane="bottomRight" activeCell="B6" sqref="B6"/>
    </sheetView>
  </sheetViews>
  <sheetFormatPr defaultColWidth="11.42578125" defaultRowHeight="12" outlineLevelRow="1" x14ac:dyDescent="0.2"/>
  <cols>
    <col min="1" max="5" width="2.7109375" style="1" customWidth="1"/>
    <col min="6" max="6" width="8.85546875" style="1" bestFit="1" customWidth="1"/>
    <col min="7" max="13" width="2.7109375" style="1" customWidth="1"/>
    <col min="14" max="14" width="2.85546875" style="1" customWidth="1"/>
    <col min="15" max="22" width="2.7109375" style="1" customWidth="1"/>
    <col min="23" max="23" width="26.7109375" style="1" customWidth="1"/>
    <col min="24" max="26" width="2.7109375" style="1" customWidth="1"/>
    <col min="27" max="27" width="3.7109375" style="1" customWidth="1"/>
    <col min="28" max="42" width="2.7109375" style="1" customWidth="1"/>
    <col min="43" max="52" width="2.7109375" style="1" hidden="1" customWidth="1"/>
    <col min="53" max="57" width="2.7109375" style="1" customWidth="1"/>
    <col min="58" max="58" width="13.42578125" style="1" customWidth="1"/>
    <col min="59" max="16384" width="11.42578125" style="1"/>
  </cols>
  <sheetData>
    <row r="1" spans="2:52" ht="12.75" customHeight="1" x14ac:dyDescent="0.2">
      <c r="AW1" s="2"/>
      <c r="AX1" s="2"/>
      <c r="AY1" s="2"/>
      <c r="AZ1" s="20"/>
    </row>
    <row r="2" spans="2:52" x14ac:dyDescent="0.2">
      <c r="G2" s="3"/>
    </row>
    <row r="3" spans="2:52" ht="12.75" x14ac:dyDescent="0.2">
      <c r="G3" s="3"/>
      <c r="AL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2:52" ht="12.75" x14ac:dyDescent="0.2">
      <c r="G4" s="3"/>
      <c r="AL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2:52" ht="12.75" customHeight="1" x14ac:dyDescent="0.25">
      <c r="B5" s="222" t="s">
        <v>148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2:52" ht="12.75" x14ac:dyDescent="0.2">
      <c r="G6" s="3"/>
      <c r="AL6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2:52" ht="12.75" x14ac:dyDescent="0.2">
      <c r="C7" s="3" t="s">
        <v>36</v>
      </c>
      <c r="G7" s="3"/>
      <c r="AL7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2:52" ht="12.75" x14ac:dyDescent="0.2">
      <c r="C8" s="3" t="s">
        <v>37</v>
      </c>
      <c r="G8" s="3"/>
      <c r="AL8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2:52" ht="12.75" x14ac:dyDescent="0.2">
      <c r="R9" s="20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</row>
    <row r="10" spans="2:52" x14ac:dyDescent="0.2">
      <c r="B10" s="4"/>
      <c r="C10" s="1" t="s">
        <v>33</v>
      </c>
      <c r="I10" s="2"/>
      <c r="J10" s="4"/>
      <c r="K10" s="4"/>
      <c r="L10" s="2" t="s">
        <v>34</v>
      </c>
      <c r="R10" s="20"/>
      <c r="S10" s="5"/>
      <c r="U10" s="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5"/>
      <c r="AL10" s="28"/>
      <c r="AN10" s="2"/>
      <c r="AP10" s="2"/>
      <c r="AQ10" s="2"/>
      <c r="AR10" s="2"/>
      <c r="AS10" s="2"/>
      <c r="AT10" s="2"/>
      <c r="AU10" s="2"/>
      <c r="AV10" s="2"/>
      <c r="AZ10" s="5"/>
    </row>
    <row r="11" spans="2:52" ht="12.75" x14ac:dyDescent="0.2">
      <c r="B11" s="4"/>
      <c r="I11" s="2"/>
      <c r="J11" s="4"/>
      <c r="K11" s="233" t="s">
        <v>146</v>
      </c>
      <c r="L11" s="234"/>
      <c r="M11" s="234"/>
      <c r="N11" s="234"/>
      <c r="O11" s="234"/>
      <c r="P11" s="50"/>
      <c r="R11" s="20"/>
      <c r="S11" s="5"/>
      <c r="U11" s="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5"/>
      <c r="AL11" s="28"/>
      <c r="AN11" s="2"/>
      <c r="AP11" s="2"/>
      <c r="AQ11" s="2"/>
      <c r="AR11" s="2"/>
      <c r="AS11" s="2"/>
      <c r="AT11" s="2"/>
      <c r="AU11" s="2"/>
      <c r="AV11" s="2"/>
      <c r="AZ11" s="5"/>
    </row>
    <row r="12" spans="2:52" ht="12.75" customHeight="1" x14ac:dyDescent="0.2">
      <c r="B12" s="233">
        <v>43294</v>
      </c>
      <c r="C12" s="234"/>
      <c r="D12" s="234"/>
      <c r="E12" s="234"/>
      <c r="F12" s="234"/>
      <c r="G12" s="234"/>
      <c r="H12" s="23"/>
      <c r="I12" s="23"/>
      <c r="J12" s="4"/>
      <c r="K12" s="233" t="s">
        <v>35</v>
      </c>
      <c r="L12" s="234"/>
      <c r="M12" s="234"/>
      <c r="N12" s="234"/>
      <c r="O12" s="234"/>
      <c r="P12" s="27"/>
      <c r="Q12" s="6"/>
      <c r="R12" s="23"/>
      <c r="S12" s="24"/>
      <c r="U12" s="45"/>
      <c r="V12" s="238" t="s">
        <v>38</v>
      </c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9"/>
      <c r="AL12" s="223">
        <v>0.22470000000000001</v>
      </c>
      <c r="AM12" s="224"/>
      <c r="AN12" s="224"/>
      <c r="AO12" s="224"/>
      <c r="AP12" s="224"/>
      <c r="AQ12" s="21"/>
      <c r="AR12" s="21"/>
      <c r="AS12" s="21"/>
      <c r="AT12" s="21"/>
      <c r="AU12" s="21"/>
      <c r="AV12" s="21"/>
      <c r="AW12" s="21"/>
      <c r="AX12" s="21"/>
      <c r="AY12" s="21"/>
      <c r="AZ12" s="22"/>
    </row>
    <row r="13" spans="2:52" ht="6.75" customHeight="1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9"/>
      <c r="P13" s="9"/>
      <c r="Q13" s="9"/>
      <c r="R13" s="9"/>
      <c r="S13" s="9"/>
      <c r="T13" s="9"/>
      <c r="U13" s="9"/>
      <c r="V13" s="9"/>
      <c r="W13" s="9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0"/>
      <c r="AM13" s="9"/>
      <c r="AN13" s="9"/>
      <c r="AO13" s="9"/>
      <c r="AP13" s="9"/>
      <c r="AQ13" s="9"/>
      <c r="AR13" s="10"/>
      <c r="AS13" s="10"/>
      <c r="AT13" s="9"/>
      <c r="AU13" s="9"/>
      <c r="AV13" s="9"/>
      <c r="AW13" s="9"/>
      <c r="AX13" s="9"/>
      <c r="AY13" s="9"/>
      <c r="AZ13" s="9"/>
    </row>
    <row r="14" spans="2:52" ht="12.75" customHeight="1" x14ac:dyDescent="0.2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72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4"/>
      <c r="AL14" s="172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4"/>
    </row>
    <row r="15" spans="2:52" ht="12.75" customHeight="1" x14ac:dyDescent="0.2">
      <c r="B15" s="235" t="s">
        <v>0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7"/>
      <c r="X15" s="175" t="s">
        <v>1</v>
      </c>
      <c r="Y15" s="177"/>
      <c r="Z15" s="175" t="s">
        <v>15</v>
      </c>
      <c r="AA15" s="176"/>
      <c r="AB15" s="177"/>
      <c r="AC15" s="181" t="s">
        <v>30</v>
      </c>
      <c r="AD15" s="182"/>
      <c r="AE15" s="182"/>
      <c r="AF15" s="183"/>
      <c r="AG15" s="181" t="s">
        <v>31</v>
      </c>
      <c r="AH15" s="182"/>
      <c r="AI15" s="182"/>
      <c r="AJ15" s="182"/>
      <c r="AK15" s="183"/>
      <c r="AL15" s="187" t="s">
        <v>32</v>
      </c>
      <c r="AM15" s="188"/>
      <c r="AN15" s="188"/>
      <c r="AO15" s="188"/>
      <c r="AP15" s="189"/>
      <c r="AQ15" s="193"/>
      <c r="AR15" s="194"/>
      <c r="AS15" s="194"/>
      <c r="AT15" s="194"/>
      <c r="AU15" s="195"/>
      <c r="AV15" s="193"/>
      <c r="AW15" s="194"/>
      <c r="AX15" s="194"/>
      <c r="AY15" s="194"/>
      <c r="AZ15" s="195"/>
    </row>
    <row r="16" spans="2:52" ht="12.75" customHeight="1" x14ac:dyDescent="0.2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78"/>
      <c r="Y16" s="180"/>
      <c r="Z16" s="178"/>
      <c r="AA16" s="179"/>
      <c r="AB16" s="180"/>
      <c r="AC16" s="184"/>
      <c r="AD16" s="185"/>
      <c r="AE16" s="185"/>
      <c r="AF16" s="186"/>
      <c r="AG16" s="184"/>
      <c r="AH16" s="185"/>
      <c r="AI16" s="185"/>
      <c r="AJ16" s="185"/>
      <c r="AK16" s="186"/>
      <c r="AL16" s="190"/>
      <c r="AM16" s="191"/>
      <c r="AN16" s="191"/>
      <c r="AO16" s="191"/>
      <c r="AP16" s="192"/>
      <c r="AQ16" s="169"/>
      <c r="AR16" s="170"/>
      <c r="AS16" s="170"/>
      <c r="AT16" s="170"/>
      <c r="AU16" s="171"/>
      <c r="AV16" s="169"/>
      <c r="AW16" s="170"/>
      <c r="AX16" s="170"/>
      <c r="AY16" s="170"/>
      <c r="AZ16" s="171"/>
    </row>
    <row r="17" spans="2:52" ht="12.75" customHeight="1" x14ac:dyDescent="0.2">
      <c r="B17" s="53"/>
      <c r="C17" s="54"/>
      <c r="D17" s="54"/>
      <c r="E17" s="54"/>
      <c r="F17" s="54"/>
      <c r="G17" s="54" t="s">
        <v>3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5"/>
      <c r="Y17" s="56"/>
      <c r="Z17" s="55"/>
      <c r="AA17" s="57"/>
      <c r="AB17" s="56"/>
      <c r="AC17" s="58"/>
      <c r="AD17" s="59"/>
      <c r="AE17" s="59"/>
      <c r="AF17" s="60"/>
      <c r="AG17" s="61"/>
      <c r="AH17" s="59"/>
      <c r="AI17" s="59"/>
      <c r="AJ17" s="59"/>
      <c r="AK17" s="60"/>
      <c r="AL17" s="58"/>
      <c r="AM17" s="62"/>
      <c r="AN17" s="62"/>
      <c r="AO17" s="62"/>
      <c r="AP17" s="63"/>
      <c r="AQ17" s="61"/>
      <c r="AR17" s="59"/>
      <c r="AS17" s="59"/>
      <c r="AT17" s="59"/>
      <c r="AU17" s="60"/>
      <c r="AV17" s="61"/>
      <c r="AW17" s="59"/>
      <c r="AX17" s="59"/>
      <c r="AY17" s="59"/>
      <c r="AZ17" s="60"/>
    </row>
    <row r="18" spans="2:52" ht="12.75" outlineLevel="1" x14ac:dyDescent="0.2">
      <c r="B18" s="160">
        <v>1</v>
      </c>
      <c r="C18" s="161"/>
      <c r="D18" s="161"/>
      <c r="E18" s="162"/>
      <c r="F18" s="163" t="s">
        <v>27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5"/>
      <c r="X18" s="225"/>
      <c r="Y18" s="226"/>
      <c r="Z18" s="227"/>
      <c r="AA18" s="228"/>
      <c r="AB18" s="229"/>
      <c r="AC18" s="230"/>
      <c r="AD18" s="231"/>
      <c r="AE18" s="231"/>
      <c r="AF18" s="232"/>
      <c r="AG18" s="166">
        <f>SUM(AG19:AK25)</f>
        <v>3086.9425000000001</v>
      </c>
      <c r="AH18" s="167"/>
      <c r="AI18" s="167"/>
      <c r="AJ18" s="167"/>
      <c r="AK18" s="168"/>
      <c r="AL18" s="166">
        <f>SUM(AL19:AP25)</f>
        <v>3780.57847975</v>
      </c>
      <c r="AM18" s="167"/>
      <c r="AN18" s="167"/>
      <c r="AO18" s="167"/>
      <c r="AP18" s="168"/>
      <c r="AQ18" s="148"/>
      <c r="AR18" s="149"/>
      <c r="AS18" s="149"/>
      <c r="AT18" s="149"/>
      <c r="AU18" s="150"/>
      <c r="AV18" s="148"/>
      <c r="AW18" s="149"/>
      <c r="AX18" s="149"/>
      <c r="AY18" s="149"/>
      <c r="AZ18" s="150"/>
    </row>
    <row r="19" spans="2:52" ht="12.75" outlineLevel="1" x14ac:dyDescent="0.2">
      <c r="B19" s="154"/>
      <c r="C19" s="159"/>
      <c r="D19" s="159"/>
      <c r="E19" s="155"/>
      <c r="F19" s="64" t="s">
        <v>4</v>
      </c>
      <c r="G19" s="151" t="s">
        <v>5</v>
      </c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3"/>
      <c r="X19" s="154" t="s">
        <v>71</v>
      </c>
      <c r="Y19" s="155"/>
      <c r="Z19" s="139">
        <v>4</v>
      </c>
      <c r="AA19" s="140"/>
      <c r="AB19" s="141"/>
      <c r="AC19" s="142">
        <v>61.72</v>
      </c>
      <c r="AD19" s="143"/>
      <c r="AE19" s="143"/>
      <c r="AF19" s="144"/>
      <c r="AG19" s="145">
        <f t="shared" ref="AG19:AG29" si="0">Z19*AC19</f>
        <v>246.88</v>
      </c>
      <c r="AH19" s="146"/>
      <c r="AI19" s="146"/>
      <c r="AJ19" s="146"/>
      <c r="AK19" s="147"/>
      <c r="AL19" s="148">
        <f>AG19*(1+$AL$12)</f>
        <v>302.35393599999998</v>
      </c>
      <c r="AM19" s="149"/>
      <c r="AN19" s="149"/>
      <c r="AO19" s="149"/>
      <c r="AP19" s="150"/>
      <c r="AQ19" s="148"/>
      <c r="AR19" s="149"/>
      <c r="AS19" s="149"/>
      <c r="AT19" s="149"/>
      <c r="AU19" s="150"/>
      <c r="AV19" s="148"/>
      <c r="AW19" s="149"/>
      <c r="AX19" s="149"/>
      <c r="AY19" s="149"/>
      <c r="AZ19" s="150"/>
    </row>
    <row r="20" spans="2:52" ht="12.75" outlineLevel="1" x14ac:dyDescent="0.2">
      <c r="B20" s="65"/>
      <c r="C20" s="64"/>
      <c r="D20" s="64"/>
      <c r="E20" s="66"/>
      <c r="F20" s="64" t="s">
        <v>82</v>
      </c>
      <c r="G20" s="151" t="s">
        <v>83</v>
      </c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3"/>
      <c r="X20" s="154" t="s">
        <v>71</v>
      </c>
      <c r="Y20" s="155"/>
      <c r="Z20" s="139">
        <v>1</v>
      </c>
      <c r="AA20" s="140"/>
      <c r="AB20" s="141"/>
      <c r="AC20" s="196">
        <v>35.72</v>
      </c>
      <c r="AD20" s="197"/>
      <c r="AE20" s="197"/>
      <c r="AF20" s="198"/>
      <c r="AG20" s="145">
        <f t="shared" si="0"/>
        <v>35.72</v>
      </c>
      <c r="AH20" s="146"/>
      <c r="AI20" s="146"/>
      <c r="AJ20" s="146"/>
      <c r="AK20" s="147"/>
      <c r="AL20" s="148">
        <f t="shared" ref="AL20:AL25" si="1">AG20*(1+$AL$12)</f>
        <v>43.746283999999996</v>
      </c>
      <c r="AM20" s="149"/>
      <c r="AN20" s="149"/>
      <c r="AO20" s="149"/>
      <c r="AP20" s="150"/>
      <c r="AQ20" s="67"/>
      <c r="AR20" s="68"/>
      <c r="AS20" s="68"/>
      <c r="AT20" s="68"/>
      <c r="AU20" s="69"/>
      <c r="AV20" s="67"/>
      <c r="AW20" s="68"/>
      <c r="AX20" s="68"/>
      <c r="AY20" s="68"/>
      <c r="AZ20" s="69"/>
    </row>
    <row r="21" spans="2:52" ht="12.75" customHeight="1" outlineLevel="1" x14ac:dyDescent="0.2">
      <c r="B21" s="65"/>
      <c r="C21" s="64"/>
      <c r="D21" s="64"/>
      <c r="E21" s="66"/>
      <c r="F21" s="64" t="s">
        <v>26</v>
      </c>
      <c r="G21" s="156" t="s">
        <v>25</v>
      </c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8"/>
      <c r="X21" s="154" t="s">
        <v>71</v>
      </c>
      <c r="Y21" s="155"/>
      <c r="Z21" s="139">
        <v>13</v>
      </c>
      <c r="AA21" s="140"/>
      <c r="AB21" s="141"/>
      <c r="AC21" s="142">
        <v>47.98</v>
      </c>
      <c r="AD21" s="143"/>
      <c r="AE21" s="143"/>
      <c r="AF21" s="144"/>
      <c r="AG21" s="145">
        <f t="shared" si="0"/>
        <v>623.74</v>
      </c>
      <c r="AH21" s="146"/>
      <c r="AI21" s="146"/>
      <c r="AJ21" s="146"/>
      <c r="AK21" s="147"/>
      <c r="AL21" s="148">
        <f t="shared" si="1"/>
        <v>763.89437799999996</v>
      </c>
      <c r="AM21" s="149"/>
      <c r="AN21" s="149"/>
      <c r="AO21" s="149"/>
      <c r="AP21" s="150"/>
      <c r="AQ21" s="67"/>
      <c r="AR21" s="68"/>
      <c r="AS21" s="68"/>
      <c r="AT21" s="68"/>
      <c r="AU21" s="69"/>
      <c r="AV21" s="67"/>
      <c r="AW21" s="68"/>
      <c r="AX21" s="68"/>
      <c r="AY21" s="68"/>
      <c r="AZ21" s="69"/>
    </row>
    <row r="22" spans="2:52" ht="26.25" customHeight="1" outlineLevel="1" x14ac:dyDescent="0.2">
      <c r="B22" s="154"/>
      <c r="C22" s="159"/>
      <c r="D22" s="159"/>
      <c r="E22" s="155"/>
      <c r="F22" s="51" t="s">
        <v>125</v>
      </c>
      <c r="G22" s="156" t="s">
        <v>126</v>
      </c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8"/>
      <c r="X22" s="154" t="s">
        <v>69</v>
      </c>
      <c r="Y22" s="155"/>
      <c r="Z22" s="139">
        <v>1.65</v>
      </c>
      <c r="AA22" s="140"/>
      <c r="AB22" s="141"/>
      <c r="AC22" s="142">
        <v>146.65</v>
      </c>
      <c r="AD22" s="143"/>
      <c r="AE22" s="143"/>
      <c r="AF22" s="144"/>
      <c r="AG22" s="145">
        <f t="shared" ref="AG22" si="2">Z22*AC22</f>
        <v>241.9725</v>
      </c>
      <c r="AH22" s="146"/>
      <c r="AI22" s="146"/>
      <c r="AJ22" s="146"/>
      <c r="AK22" s="147"/>
      <c r="AL22" s="148">
        <f t="shared" ref="AL22" si="3">AG22*(1+$AL$12)</f>
        <v>296.34372074999999</v>
      </c>
      <c r="AM22" s="149"/>
      <c r="AN22" s="149"/>
      <c r="AO22" s="149"/>
      <c r="AP22" s="150"/>
      <c r="AQ22" s="148"/>
      <c r="AR22" s="149"/>
      <c r="AS22" s="149"/>
      <c r="AT22" s="149"/>
      <c r="AU22" s="150"/>
      <c r="AV22" s="148"/>
      <c r="AW22" s="149"/>
      <c r="AX22" s="149"/>
      <c r="AY22" s="149"/>
      <c r="AZ22" s="150"/>
    </row>
    <row r="23" spans="2:52" ht="25.5" customHeight="1" outlineLevel="1" x14ac:dyDescent="0.2">
      <c r="B23" s="65"/>
      <c r="C23" s="64"/>
      <c r="D23" s="64"/>
      <c r="E23" s="66"/>
      <c r="F23" s="64" t="s">
        <v>6</v>
      </c>
      <c r="G23" s="156" t="s">
        <v>7</v>
      </c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8"/>
      <c r="X23" s="154" t="s">
        <v>71</v>
      </c>
      <c r="Y23" s="155"/>
      <c r="Z23" s="139">
        <v>2</v>
      </c>
      <c r="AA23" s="140"/>
      <c r="AB23" s="141"/>
      <c r="AC23" s="142">
        <v>133.19999999999999</v>
      </c>
      <c r="AD23" s="143"/>
      <c r="AE23" s="143"/>
      <c r="AF23" s="144"/>
      <c r="AG23" s="145">
        <f t="shared" si="0"/>
        <v>266.39999999999998</v>
      </c>
      <c r="AH23" s="146"/>
      <c r="AI23" s="146"/>
      <c r="AJ23" s="146"/>
      <c r="AK23" s="147"/>
      <c r="AL23" s="148">
        <f t="shared" si="1"/>
        <v>326.26007999999996</v>
      </c>
      <c r="AM23" s="149"/>
      <c r="AN23" s="149"/>
      <c r="AO23" s="149"/>
      <c r="AP23" s="150"/>
      <c r="AQ23" s="67"/>
      <c r="AR23" s="68"/>
      <c r="AS23" s="68"/>
      <c r="AT23" s="68"/>
      <c r="AU23" s="69"/>
      <c r="AV23" s="67"/>
      <c r="AW23" s="68"/>
      <c r="AX23" s="68"/>
      <c r="AY23" s="68"/>
      <c r="AZ23" s="69"/>
    </row>
    <row r="24" spans="2:52" ht="12.75" outlineLevel="1" x14ac:dyDescent="0.2">
      <c r="B24" s="65"/>
      <c r="C24" s="64"/>
      <c r="D24" s="64"/>
      <c r="E24" s="66"/>
      <c r="F24" s="64" t="s">
        <v>8</v>
      </c>
      <c r="G24" s="151" t="s">
        <v>9</v>
      </c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3"/>
      <c r="X24" s="154" t="s">
        <v>71</v>
      </c>
      <c r="Y24" s="155"/>
      <c r="Z24" s="139">
        <v>3</v>
      </c>
      <c r="AA24" s="140"/>
      <c r="AB24" s="141"/>
      <c r="AC24" s="142">
        <v>308.81</v>
      </c>
      <c r="AD24" s="143"/>
      <c r="AE24" s="143"/>
      <c r="AF24" s="144"/>
      <c r="AG24" s="145">
        <f t="shared" si="0"/>
        <v>926.43000000000006</v>
      </c>
      <c r="AH24" s="146"/>
      <c r="AI24" s="146"/>
      <c r="AJ24" s="146"/>
      <c r="AK24" s="147"/>
      <c r="AL24" s="148">
        <f t="shared" si="1"/>
        <v>1134.598821</v>
      </c>
      <c r="AM24" s="149"/>
      <c r="AN24" s="149"/>
      <c r="AO24" s="149"/>
      <c r="AP24" s="150"/>
      <c r="AQ24" s="67"/>
      <c r="AR24" s="68"/>
      <c r="AS24" s="68"/>
      <c r="AT24" s="68"/>
      <c r="AU24" s="69"/>
      <c r="AV24" s="67"/>
      <c r="AW24" s="68"/>
      <c r="AX24" s="68"/>
      <c r="AY24" s="68"/>
      <c r="AZ24" s="69"/>
    </row>
    <row r="25" spans="2:52" ht="12.75" x14ac:dyDescent="0.2">
      <c r="B25" s="65"/>
      <c r="C25" s="64"/>
      <c r="D25" s="64"/>
      <c r="E25" s="66"/>
      <c r="F25" s="64" t="s">
        <v>23</v>
      </c>
      <c r="G25" s="151" t="s">
        <v>24</v>
      </c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3"/>
      <c r="X25" s="154" t="s">
        <v>71</v>
      </c>
      <c r="Y25" s="155"/>
      <c r="Z25" s="139">
        <v>5</v>
      </c>
      <c r="AA25" s="140"/>
      <c r="AB25" s="141"/>
      <c r="AC25" s="142">
        <v>149.16</v>
      </c>
      <c r="AD25" s="143"/>
      <c r="AE25" s="143"/>
      <c r="AF25" s="144"/>
      <c r="AG25" s="145">
        <f t="shared" si="0"/>
        <v>745.8</v>
      </c>
      <c r="AH25" s="146"/>
      <c r="AI25" s="146"/>
      <c r="AJ25" s="146"/>
      <c r="AK25" s="147"/>
      <c r="AL25" s="148">
        <f t="shared" si="1"/>
        <v>913.38125999999988</v>
      </c>
      <c r="AM25" s="149"/>
      <c r="AN25" s="149"/>
      <c r="AO25" s="149"/>
      <c r="AP25" s="150"/>
      <c r="AQ25" s="67"/>
      <c r="AR25" s="68"/>
      <c r="AS25" s="68"/>
      <c r="AT25" s="68"/>
      <c r="AU25" s="69"/>
      <c r="AV25" s="67"/>
      <c r="AW25" s="68"/>
      <c r="AX25" s="68"/>
      <c r="AY25" s="68"/>
      <c r="AZ25" s="69"/>
    </row>
    <row r="26" spans="2:52" ht="12.75" x14ac:dyDescent="0.2">
      <c r="B26" s="65"/>
      <c r="C26" s="64"/>
      <c r="D26" s="64"/>
      <c r="E26" s="66"/>
      <c r="F26" s="64"/>
      <c r="G26" s="151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3"/>
      <c r="X26" s="154"/>
      <c r="Y26" s="155"/>
      <c r="Z26" s="139"/>
      <c r="AA26" s="140"/>
      <c r="AB26" s="141"/>
      <c r="AC26" s="142"/>
      <c r="AD26" s="143"/>
      <c r="AE26" s="143"/>
      <c r="AF26" s="144"/>
      <c r="AG26" s="145"/>
      <c r="AH26" s="146"/>
      <c r="AI26" s="146"/>
      <c r="AJ26" s="146"/>
      <c r="AK26" s="147"/>
      <c r="AL26" s="148"/>
      <c r="AM26" s="149"/>
      <c r="AN26" s="149"/>
      <c r="AO26" s="149"/>
      <c r="AP26" s="150"/>
      <c r="AQ26" s="67"/>
      <c r="AR26" s="68"/>
      <c r="AS26" s="68"/>
      <c r="AT26" s="68"/>
      <c r="AU26" s="69"/>
      <c r="AV26" s="67"/>
      <c r="AW26" s="68"/>
      <c r="AX26" s="68"/>
      <c r="AY26" s="68"/>
      <c r="AZ26" s="69"/>
    </row>
    <row r="27" spans="2:52" ht="12.75" x14ac:dyDescent="0.2">
      <c r="B27" s="160">
        <v>2</v>
      </c>
      <c r="C27" s="161"/>
      <c r="D27" s="161"/>
      <c r="E27" s="162"/>
      <c r="F27" s="163" t="s">
        <v>28</v>
      </c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5"/>
      <c r="X27" s="70"/>
      <c r="Y27" s="71"/>
      <c r="Z27" s="72"/>
      <c r="AA27" s="73"/>
      <c r="AB27" s="74"/>
      <c r="AC27" s="75"/>
      <c r="AD27" s="76"/>
      <c r="AE27" s="76"/>
      <c r="AF27" s="77"/>
      <c r="AG27" s="166">
        <f>SUM(AG28:AK31)</f>
        <v>511.71099999999996</v>
      </c>
      <c r="AH27" s="167"/>
      <c r="AI27" s="167"/>
      <c r="AJ27" s="167"/>
      <c r="AK27" s="168"/>
      <c r="AL27" s="166">
        <f>SUM(AL28:AP31)</f>
        <v>626.69246169999985</v>
      </c>
      <c r="AM27" s="167"/>
      <c r="AN27" s="167"/>
      <c r="AO27" s="167"/>
      <c r="AP27" s="168"/>
      <c r="AQ27" s="67"/>
      <c r="AR27" s="68"/>
      <c r="AS27" s="68"/>
      <c r="AT27" s="68"/>
      <c r="AU27" s="69"/>
      <c r="AV27" s="67"/>
      <c r="AW27" s="68"/>
      <c r="AX27" s="68"/>
      <c r="AY27" s="68"/>
      <c r="AZ27" s="69"/>
    </row>
    <row r="28" spans="2:52" ht="12.75" outlineLevel="1" x14ac:dyDescent="0.2">
      <c r="B28" s="65"/>
      <c r="C28" s="64"/>
      <c r="D28" s="64"/>
      <c r="E28" s="66"/>
      <c r="F28" s="64" t="s">
        <v>10</v>
      </c>
      <c r="G28" s="151" t="s">
        <v>21</v>
      </c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3"/>
      <c r="X28" s="154" t="s">
        <v>11</v>
      </c>
      <c r="Y28" s="155"/>
      <c r="Z28" s="139">
        <f>18*(0.15*0.75)</f>
        <v>2.0249999999999999</v>
      </c>
      <c r="AA28" s="140"/>
      <c r="AB28" s="141"/>
      <c r="AC28" s="142">
        <v>72.19</v>
      </c>
      <c r="AD28" s="143"/>
      <c r="AE28" s="143"/>
      <c r="AF28" s="144"/>
      <c r="AG28" s="145">
        <f t="shared" si="0"/>
        <v>146.18474999999998</v>
      </c>
      <c r="AH28" s="146"/>
      <c r="AI28" s="146"/>
      <c r="AJ28" s="146"/>
      <c r="AK28" s="147"/>
      <c r="AL28" s="148">
        <f>AG28*(1+$AL$12)</f>
        <v>179.03246332499995</v>
      </c>
      <c r="AM28" s="149"/>
      <c r="AN28" s="149"/>
      <c r="AO28" s="149"/>
      <c r="AP28" s="150"/>
      <c r="AQ28" s="67"/>
      <c r="AR28" s="68"/>
      <c r="AS28" s="68"/>
      <c r="AT28" s="68"/>
      <c r="AU28" s="69"/>
      <c r="AV28" s="67"/>
      <c r="AW28" s="68"/>
      <c r="AX28" s="68"/>
      <c r="AY28" s="68"/>
      <c r="AZ28" s="69"/>
    </row>
    <row r="29" spans="2:52" ht="12.75" outlineLevel="1" x14ac:dyDescent="0.2">
      <c r="B29" s="154"/>
      <c r="C29" s="159"/>
      <c r="D29" s="159"/>
      <c r="E29" s="155"/>
      <c r="F29" s="64" t="s">
        <v>12</v>
      </c>
      <c r="G29" s="151" t="s">
        <v>22</v>
      </c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3"/>
      <c r="X29" s="154" t="s">
        <v>11</v>
      </c>
      <c r="Y29" s="155"/>
      <c r="Z29" s="139">
        <f>0.45*1.65</f>
        <v>0.74249999999999994</v>
      </c>
      <c r="AA29" s="140"/>
      <c r="AB29" s="141"/>
      <c r="AC29" s="142">
        <v>111.1</v>
      </c>
      <c r="AD29" s="143"/>
      <c r="AE29" s="143"/>
      <c r="AF29" s="144"/>
      <c r="AG29" s="145">
        <f t="shared" si="0"/>
        <v>82.491749999999982</v>
      </c>
      <c r="AH29" s="146"/>
      <c r="AI29" s="146"/>
      <c r="AJ29" s="146"/>
      <c r="AK29" s="147"/>
      <c r="AL29" s="148">
        <f t="shared" ref="AL29" si="4">AG29*(1+$AL$12)</f>
        <v>101.02764622499997</v>
      </c>
      <c r="AM29" s="149"/>
      <c r="AN29" s="149"/>
      <c r="AO29" s="149"/>
      <c r="AP29" s="150"/>
      <c r="AQ29" s="148"/>
      <c r="AR29" s="149"/>
      <c r="AS29" s="149"/>
      <c r="AT29" s="149"/>
      <c r="AU29" s="150"/>
      <c r="AV29" s="148"/>
      <c r="AW29" s="149"/>
      <c r="AX29" s="149"/>
      <c r="AY29" s="149"/>
      <c r="AZ29" s="150"/>
    </row>
    <row r="30" spans="2:52" ht="12.75" outlineLevel="1" x14ac:dyDescent="0.2">
      <c r="B30" s="154"/>
      <c r="C30" s="159"/>
      <c r="D30" s="159"/>
      <c r="E30" s="155"/>
      <c r="F30" s="64" t="s">
        <v>72</v>
      </c>
      <c r="G30" s="151" t="s">
        <v>73</v>
      </c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3"/>
      <c r="X30" s="154" t="s">
        <v>71</v>
      </c>
      <c r="Y30" s="155"/>
      <c r="Z30" s="139">
        <v>1</v>
      </c>
      <c r="AA30" s="140"/>
      <c r="AB30" s="141"/>
      <c r="AC30" s="142">
        <v>177.64</v>
      </c>
      <c r="AD30" s="143"/>
      <c r="AE30" s="143"/>
      <c r="AF30" s="144"/>
      <c r="AG30" s="145">
        <f t="shared" ref="AG30" si="5">Z30*AC30</f>
        <v>177.64</v>
      </c>
      <c r="AH30" s="146"/>
      <c r="AI30" s="146"/>
      <c r="AJ30" s="146"/>
      <c r="AK30" s="147"/>
      <c r="AL30" s="148">
        <f t="shared" ref="AL30" si="6">AG30*(1+$AL$12)</f>
        <v>217.55570799999995</v>
      </c>
      <c r="AM30" s="149"/>
      <c r="AN30" s="149"/>
      <c r="AO30" s="149"/>
      <c r="AP30" s="150"/>
      <c r="AQ30" s="148"/>
      <c r="AR30" s="149"/>
      <c r="AS30" s="149"/>
      <c r="AT30" s="149"/>
      <c r="AU30" s="150"/>
      <c r="AV30" s="148"/>
      <c r="AW30" s="149"/>
      <c r="AX30" s="149"/>
      <c r="AY30" s="149"/>
      <c r="AZ30" s="150"/>
    </row>
    <row r="31" spans="2:52" ht="24.75" customHeight="1" outlineLevel="1" x14ac:dyDescent="0.2">
      <c r="B31" s="154"/>
      <c r="C31" s="159"/>
      <c r="D31" s="159"/>
      <c r="E31" s="155"/>
      <c r="F31" s="64" t="s">
        <v>74</v>
      </c>
      <c r="G31" s="156" t="s">
        <v>75</v>
      </c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8"/>
      <c r="X31" s="154" t="s">
        <v>11</v>
      </c>
      <c r="Y31" s="155"/>
      <c r="Z31" s="139">
        <f>0.45*1.5</f>
        <v>0.67500000000000004</v>
      </c>
      <c r="AA31" s="140"/>
      <c r="AB31" s="141"/>
      <c r="AC31" s="142">
        <v>156.13999999999999</v>
      </c>
      <c r="AD31" s="143"/>
      <c r="AE31" s="143"/>
      <c r="AF31" s="144"/>
      <c r="AG31" s="145">
        <f t="shared" ref="AG31" si="7">Z31*AC31</f>
        <v>105.39449999999999</v>
      </c>
      <c r="AH31" s="146"/>
      <c r="AI31" s="146"/>
      <c r="AJ31" s="146"/>
      <c r="AK31" s="147"/>
      <c r="AL31" s="148">
        <f t="shared" ref="AL31" si="8">AG31*(1+$AL$12)</f>
        <v>129.07664414999999</v>
      </c>
      <c r="AM31" s="149"/>
      <c r="AN31" s="149"/>
      <c r="AO31" s="149"/>
      <c r="AP31" s="150"/>
      <c r="AQ31" s="148"/>
      <c r="AR31" s="149"/>
      <c r="AS31" s="149"/>
      <c r="AT31" s="149"/>
      <c r="AU31" s="150"/>
      <c r="AV31" s="148"/>
      <c r="AW31" s="149"/>
      <c r="AX31" s="149"/>
      <c r="AY31" s="149"/>
      <c r="AZ31" s="150"/>
    </row>
    <row r="32" spans="2:52" ht="12.75" x14ac:dyDescent="0.2">
      <c r="B32" s="160">
        <v>3</v>
      </c>
      <c r="C32" s="161"/>
      <c r="D32" s="161"/>
      <c r="E32" s="162"/>
      <c r="F32" s="163" t="s">
        <v>115</v>
      </c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5"/>
      <c r="X32" s="70"/>
      <c r="Y32" s="71"/>
      <c r="Z32" s="72"/>
      <c r="AA32" s="73"/>
      <c r="AB32" s="74"/>
      <c r="AC32" s="75"/>
      <c r="AD32" s="76"/>
      <c r="AE32" s="76"/>
      <c r="AF32" s="77"/>
      <c r="AG32" s="166">
        <f>SUM(AG33:AK36)</f>
        <v>5601.2359999999999</v>
      </c>
      <c r="AH32" s="167"/>
      <c r="AI32" s="167"/>
      <c r="AJ32" s="167"/>
      <c r="AK32" s="168"/>
      <c r="AL32" s="166">
        <f>SUM(AL33:AP36)</f>
        <v>6859.8337291999987</v>
      </c>
      <c r="AM32" s="167"/>
      <c r="AN32" s="167"/>
      <c r="AO32" s="167"/>
      <c r="AP32" s="168"/>
      <c r="AQ32" s="67"/>
      <c r="AR32" s="68"/>
      <c r="AS32" s="68"/>
      <c r="AT32" s="68"/>
      <c r="AU32" s="69"/>
      <c r="AV32" s="67"/>
      <c r="AW32" s="68"/>
      <c r="AX32" s="68"/>
      <c r="AY32" s="68"/>
      <c r="AZ32" s="69"/>
    </row>
    <row r="33" spans="2:52" ht="12.75" outlineLevel="1" x14ac:dyDescent="0.2">
      <c r="B33" s="154"/>
      <c r="C33" s="159"/>
      <c r="D33" s="159"/>
      <c r="E33" s="155"/>
      <c r="F33" s="64" t="s">
        <v>78</v>
      </c>
      <c r="G33" s="151" t="s">
        <v>131</v>
      </c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3"/>
      <c r="X33" s="154" t="s">
        <v>11</v>
      </c>
      <c r="Y33" s="155"/>
      <c r="Z33" s="139">
        <v>153.4</v>
      </c>
      <c r="AA33" s="140"/>
      <c r="AB33" s="141"/>
      <c r="AC33" s="142">
        <v>18.89</v>
      </c>
      <c r="AD33" s="143"/>
      <c r="AE33" s="143"/>
      <c r="AF33" s="144"/>
      <c r="AG33" s="145">
        <f t="shared" ref="AG33" si="9">Z33*AC33</f>
        <v>2897.7260000000001</v>
      </c>
      <c r="AH33" s="146"/>
      <c r="AI33" s="146"/>
      <c r="AJ33" s="146"/>
      <c r="AK33" s="147"/>
      <c r="AL33" s="148">
        <f t="shared" ref="AL33" si="10">AG33*(1+$AL$12)</f>
        <v>3548.8450321999999</v>
      </c>
      <c r="AM33" s="149"/>
      <c r="AN33" s="149"/>
      <c r="AO33" s="149"/>
      <c r="AP33" s="150"/>
      <c r="AQ33" s="148"/>
      <c r="AR33" s="149"/>
      <c r="AS33" s="149"/>
      <c r="AT33" s="149"/>
      <c r="AU33" s="150"/>
      <c r="AV33" s="148"/>
      <c r="AW33" s="149"/>
      <c r="AX33" s="149"/>
      <c r="AY33" s="149"/>
      <c r="AZ33" s="150"/>
    </row>
    <row r="34" spans="2:52" ht="12.75" outlineLevel="1" x14ac:dyDescent="0.2">
      <c r="B34" s="154"/>
      <c r="C34" s="159"/>
      <c r="D34" s="159"/>
      <c r="E34" s="155"/>
      <c r="F34" s="64" t="s">
        <v>78</v>
      </c>
      <c r="G34" s="151" t="s">
        <v>132</v>
      </c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3"/>
      <c r="X34" s="154" t="s">
        <v>11</v>
      </c>
      <c r="Y34" s="155"/>
      <c r="Z34" s="139">
        <v>123.8</v>
      </c>
      <c r="AA34" s="140"/>
      <c r="AB34" s="141"/>
      <c r="AC34" s="142">
        <v>18.89</v>
      </c>
      <c r="AD34" s="143"/>
      <c r="AE34" s="143"/>
      <c r="AF34" s="144"/>
      <c r="AG34" s="145">
        <f t="shared" ref="AG34" si="11">Z34*AC34</f>
        <v>2338.5819999999999</v>
      </c>
      <c r="AH34" s="146"/>
      <c r="AI34" s="146"/>
      <c r="AJ34" s="146"/>
      <c r="AK34" s="147"/>
      <c r="AL34" s="148">
        <f t="shared" ref="AL34" si="12">AG34*(1+$AL$12)</f>
        <v>2864.0613753999996</v>
      </c>
      <c r="AM34" s="149"/>
      <c r="AN34" s="149"/>
      <c r="AO34" s="149"/>
      <c r="AP34" s="150"/>
      <c r="AQ34" s="148"/>
      <c r="AR34" s="149"/>
      <c r="AS34" s="149"/>
      <c r="AT34" s="149"/>
      <c r="AU34" s="150"/>
      <c r="AV34" s="148"/>
      <c r="AW34" s="149"/>
      <c r="AX34" s="149"/>
      <c r="AY34" s="149"/>
      <c r="AZ34" s="150"/>
    </row>
    <row r="35" spans="2:52" ht="12.75" outlineLevel="1" x14ac:dyDescent="0.2">
      <c r="B35" s="154"/>
      <c r="C35" s="159"/>
      <c r="D35" s="159"/>
      <c r="E35" s="155"/>
      <c r="F35" s="64" t="s">
        <v>80</v>
      </c>
      <c r="G35" s="151" t="s">
        <v>81</v>
      </c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3"/>
      <c r="X35" s="154" t="s">
        <v>11</v>
      </c>
      <c r="Y35" s="155"/>
      <c r="Z35" s="139">
        <v>9.6</v>
      </c>
      <c r="AA35" s="140"/>
      <c r="AB35" s="141"/>
      <c r="AC35" s="142">
        <v>29.68</v>
      </c>
      <c r="AD35" s="143"/>
      <c r="AE35" s="143"/>
      <c r="AF35" s="144"/>
      <c r="AG35" s="145">
        <f t="shared" ref="AG35" si="13">Z35*AC35</f>
        <v>284.928</v>
      </c>
      <c r="AH35" s="146"/>
      <c r="AI35" s="146"/>
      <c r="AJ35" s="146"/>
      <c r="AK35" s="147"/>
      <c r="AL35" s="148">
        <f t="shared" ref="AL35" si="14">AG35*(1+$AL$12)</f>
        <v>348.95132159999997</v>
      </c>
      <c r="AM35" s="149"/>
      <c r="AN35" s="149"/>
      <c r="AO35" s="149"/>
      <c r="AP35" s="150"/>
      <c r="AQ35" s="148"/>
      <c r="AR35" s="149"/>
      <c r="AS35" s="149"/>
      <c r="AT35" s="149"/>
      <c r="AU35" s="150"/>
      <c r="AV35" s="148"/>
      <c r="AW35" s="149"/>
      <c r="AX35" s="149"/>
      <c r="AY35" s="149"/>
      <c r="AZ35" s="150"/>
    </row>
    <row r="36" spans="2:52" ht="12.75" outlineLevel="1" x14ac:dyDescent="0.2">
      <c r="B36" s="154"/>
      <c r="C36" s="159"/>
      <c r="D36" s="159"/>
      <c r="E36" s="155"/>
      <c r="F36" s="52" t="s">
        <v>139</v>
      </c>
      <c r="G36" s="151" t="s">
        <v>140</v>
      </c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3"/>
      <c r="X36" s="154" t="s">
        <v>141</v>
      </c>
      <c r="Y36" s="155"/>
      <c r="Z36" s="139">
        <v>400</v>
      </c>
      <c r="AA36" s="140"/>
      <c r="AB36" s="141"/>
      <c r="AC36" s="142">
        <v>0.2</v>
      </c>
      <c r="AD36" s="143"/>
      <c r="AE36" s="143"/>
      <c r="AF36" s="144"/>
      <c r="AG36" s="145">
        <f t="shared" ref="AG36" si="15">Z36*AC36</f>
        <v>80</v>
      </c>
      <c r="AH36" s="146"/>
      <c r="AI36" s="146"/>
      <c r="AJ36" s="146"/>
      <c r="AK36" s="147"/>
      <c r="AL36" s="148">
        <f t="shared" ref="AL36" si="16">AG36*(1+$AL$12)</f>
        <v>97.975999999999999</v>
      </c>
      <c r="AM36" s="149"/>
      <c r="AN36" s="149"/>
      <c r="AO36" s="149"/>
      <c r="AP36" s="150"/>
      <c r="AQ36" s="148"/>
      <c r="AR36" s="149"/>
      <c r="AS36" s="149"/>
      <c r="AT36" s="149"/>
      <c r="AU36" s="150"/>
      <c r="AV36" s="148"/>
      <c r="AW36" s="149"/>
      <c r="AX36" s="149"/>
      <c r="AY36" s="149"/>
      <c r="AZ36" s="150"/>
    </row>
    <row r="37" spans="2:52" ht="12.75" outlineLevel="1" x14ac:dyDescent="0.2">
      <c r="B37" s="65"/>
      <c r="C37" s="64"/>
      <c r="D37" s="64"/>
      <c r="E37" s="66"/>
      <c r="F37" s="64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65"/>
      <c r="Y37" s="66"/>
      <c r="Z37" s="80"/>
      <c r="AA37" s="81"/>
      <c r="AB37" s="82"/>
      <c r="AC37" s="83"/>
      <c r="AD37" s="84"/>
      <c r="AE37" s="84"/>
      <c r="AF37" s="85"/>
      <c r="AG37" s="86"/>
      <c r="AH37" s="87"/>
      <c r="AI37" s="87"/>
      <c r="AJ37" s="87"/>
      <c r="AK37" s="88"/>
      <c r="AL37" s="67"/>
      <c r="AM37" s="68"/>
      <c r="AN37" s="68"/>
      <c r="AO37" s="68"/>
      <c r="AP37" s="69"/>
      <c r="AQ37" s="67"/>
      <c r="AR37" s="68"/>
      <c r="AS37" s="68"/>
      <c r="AT37" s="68"/>
      <c r="AU37" s="69"/>
      <c r="AV37" s="67"/>
      <c r="AW37" s="68"/>
      <c r="AX37" s="68"/>
      <c r="AY37" s="68"/>
      <c r="AZ37" s="69"/>
    </row>
    <row r="38" spans="2:52" s="3" customFormat="1" ht="12" customHeight="1" outlineLevel="1" x14ac:dyDescent="0.2">
      <c r="B38" s="160">
        <v>4</v>
      </c>
      <c r="C38" s="161"/>
      <c r="D38" s="161"/>
      <c r="E38" s="162"/>
      <c r="F38" s="163" t="s">
        <v>39</v>
      </c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5"/>
      <c r="X38" s="89"/>
      <c r="Y38" s="90"/>
      <c r="Z38" s="91"/>
      <c r="AA38" s="92"/>
      <c r="AB38" s="93"/>
      <c r="AC38" s="94"/>
      <c r="AD38" s="95"/>
      <c r="AE38" s="95"/>
      <c r="AF38" s="96"/>
      <c r="AG38" s="166">
        <f>SUM(AG39:AK40)</f>
        <v>42.73</v>
      </c>
      <c r="AH38" s="167"/>
      <c r="AI38" s="167"/>
      <c r="AJ38" s="167"/>
      <c r="AK38" s="168"/>
      <c r="AL38" s="166">
        <f>SUM(AL39:AP40)</f>
        <v>52.331430999999995</v>
      </c>
      <c r="AM38" s="167"/>
      <c r="AN38" s="167"/>
      <c r="AO38" s="167"/>
      <c r="AP38" s="168"/>
      <c r="AQ38" s="97"/>
      <c r="AR38" s="98"/>
      <c r="AS38" s="98"/>
      <c r="AT38" s="98"/>
      <c r="AU38" s="99"/>
      <c r="AV38" s="97"/>
      <c r="AW38" s="98"/>
      <c r="AX38" s="98"/>
      <c r="AY38" s="98"/>
      <c r="AZ38" s="99"/>
    </row>
    <row r="39" spans="2:52" ht="27" customHeight="1" outlineLevel="1" x14ac:dyDescent="0.2">
      <c r="B39" s="154"/>
      <c r="C39" s="159"/>
      <c r="D39" s="159"/>
      <c r="E39" s="155"/>
      <c r="F39" s="100" t="s">
        <v>127</v>
      </c>
      <c r="G39" s="156" t="s">
        <v>124</v>
      </c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154"/>
      <c r="Y39" s="155"/>
      <c r="Z39" s="139">
        <v>1</v>
      </c>
      <c r="AA39" s="140"/>
      <c r="AB39" s="141"/>
      <c r="AC39" s="142">
        <v>11.94</v>
      </c>
      <c r="AD39" s="143"/>
      <c r="AE39" s="143"/>
      <c r="AF39" s="144"/>
      <c r="AG39" s="145">
        <f>Z39*AC39</f>
        <v>11.94</v>
      </c>
      <c r="AH39" s="146"/>
      <c r="AI39" s="146"/>
      <c r="AJ39" s="146"/>
      <c r="AK39" s="147"/>
      <c r="AL39" s="148">
        <f>(1+$AL$12)*AG39</f>
        <v>14.622917999999999</v>
      </c>
      <c r="AM39" s="149"/>
      <c r="AN39" s="149"/>
      <c r="AO39" s="149"/>
      <c r="AP39" s="150"/>
      <c r="AQ39" s="148"/>
      <c r="AR39" s="149"/>
      <c r="AS39" s="149"/>
      <c r="AT39" s="149"/>
      <c r="AU39" s="150"/>
      <c r="AV39" s="148"/>
      <c r="AW39" s="149"/>
      <c r="AX39" s="149"/>
      <c r="AY39" s="149"/>
      <c r="AZ39" s="150"/>
    </row>
    <row r="40" spans="2:52" ht="25.5" customHeight="1" outlineLevel="1" x14ac:dyDescent="0.2">
      <c r="B40" s="154"/>
      <c r="C40" s="159"/>
      <c r="D40" s="159"/>
      <c r="E40" s="155"/>
      <c r="F40" s="100" t="s">
        <v>128</v>
      </c>
      <c r="G40" s="156" t="s">
        <v>123</v>
      </c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3"/>
      <c r="X40" s="154" t="s">
        <v>71</v>
      </c>
      <c r="Y40" s="155"/>
      <c r="Z40" s="139">
        <v>1</v>
      </c>
      <c r="AA40" s="140"/>
      <c r="AB40" s="141"/>
      <c r="AC40" s="142">
        <v>30.79</v>
      </c>
      <c r="AD40" s="143"/>
      <c r="AE40" s="143"/>
      <c r="AF40" s="144"/>
      <c r="AG40" s="145">
        <f t="shared" ref="AG40" si="17">Z40*AC40</f>
        <v>30.79</v>
      </c>
      <c r="AH40" s="146"/>
      <c r="AI40" s="146"/>
      <c r="AJ40" s="146"/>
      <c r="AK40" s="147"/>
      <c r="AL40" s="148">
        <f t="shared" ref="AL40" si="18">(1+$AL$12)*AG40</f>
        <v>37.708512999999996</v>
      </c>
      <c r="AM40" s="149"/>
      <c r="AN40" s="149"/>
      <c r="AO40" s="149"/>
      <c r="AP40" s="150"/>
      <c r="AQ40" s="148"/>
      <c r="AR40" s="149"/>
      <c r="AS40" s="149"/>
      <c r="AT40" s="149"/>
      <c r="AU40" s="150"/>
      <c r="AV40" s="148"/>
      <c r="AW40" s="149"/>
      <c r="AX40" s="149"/>
      <c r="AY40" s="149"/>
      <c r="AZ40" s="150"/>
    </row>
    <row r="41" spans="2:52" ht="12.75" customHeight="1" outlineLevel="1" x14ac:dyDescent="0.2">
      <c r="B41" s="160">
        <v>5</v>
      </c>
      <c r="C41" s="161"/>
      <c r="D41" s="161"/>
      <c r="E41" s="162"/>
      <c r="F41" s="163" t="s">
        <v>67</v>
      </c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5"/>
      <c r="X41" s="70"/>
      <c r="Y41" s="71"/>
      <c r="Z41" s="72"/>
      <c r="AA41" s="73"/>
      <c r="AB41" s="74"/>
      <c r="AC41" s="75"/>
      <c r="AD41" s="76"/>
      <c r="AE41" s="76"/>
      <c r="AF41" s="77"/>
      <c r="AG41" s="242">
        <f>SUM(AG42:AK48)</f>
        <v>65784.331920000011</v>
      </c>
      <c r="AH41" s="243"/>
      <c r="AI41" s="243"/>
      <c r="AJ41" s="243"/>
      <c r="AK41" s="244"/>
      <c r="AL41" s="242">
        <f>SUM(AL42:AP48)</f>
        <v>80566.071302423996</v>
      </c>
      <c r="AM41" s="243"/>
      <c r="AN41" s="243"/>
      <c r="AO41" s="243"/>
      <c r="AP41" s="244"/>
      <c r="AQ41" s="67"/>
      <c r="AR41" s="68"/>
      <c r="AS41" s="68"/>
      <c r="AT41" s="68"/>
      <c r="AU41" s="69"/>
      <c r="AV41" s="67"/>
      <c r="AW41" s="68"/>
      <c r="AX41" s="68"/>
      <c r="AY41" s="68"/>
      <c r="AZ41" s="69"/>
    </row>
    <row r="42" spans="2:52" ht="12.75" outlineLevel="1" x14ac:dyDescent="0.2">
      <c r="B42" s="65"/>
      <c r="C42" s="64"/>
      <c r="D42" s="64"/>
      <c r="E42" s="66"/>
      <c r="F42" s="64" t="s">
        <v>13</v>
      </c>
      <c r="G42" s="156" t="s">
        <v>14</v>
      </c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8"/>
      <c r="X42" s="154" t="s">
        <v>11</v>
      </c>
      <c r="Y42" s="155"/>
      <c r="Z42" s="139">
        <f>Plan1!D8</f>
        <v>205.17000000000002</v>
      </c>
      <c r="AA42" s="140"/>
      <c r="AB42" s="141"/>
      <c r="AC42" s="142">
        <v>50.51</v>
      </c>
      <c r="AD42" s="143"/>
      <c r="AE42" s="143"/>
      <c r="AF42" s="144"/>
      <c r="AG42" s="145">
        <f>Z42*AC42</f>
        <v>10363.136700000001</v>
      </c>
      <c r="AH42" s="146"/>
      <c r="AI42" s="146"/>
      <c r="AJ42" s="146"/>
      <c r="AK42" s="147"/>
      <c r="AL42" s="148">
        <f t="shared" ref="AL42:AL46" si="19">(1+$AL$12)*AG42</f>
        <v>12691.73351649</v>
      </c>
      <c r="AM42" s="149"/>
      <c r="AN42" s="149"/>
      <c r="AO42" s="149"/>
      <c r="AP42" s="150"/>
      <c r="AQ42" s="67"/>
      <c r="AR42" s="68"/>
      <c r="AS42" s="68"/>
      <c r="AT42" s="68"/>
      <c r="AU42" s="69"/>
      <c r="AV42" s="67"/>
      <c r="AW42" s="68"/>
      <c r="AX42" s="68"/>
      <c r="AY42" s="68"/>
      <c r="AZ42" s="69"/>
    </row>
    <row r="43" spans="2:52" ht="12.75" outlineLevel="1" x14ac:dyDescent="0.2">
      <c r="B43" s="65"/>
      <c r="C43" s="64"/>
      <c r="D43" s="64"/>
      <c r="E43" s="66"/>
      <c r="F43" s="64" t="s">
        <v>78</v>
      </c>
      <c r="G43" s="151" t="s">
        <v>79</v>
      </c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3"/>
      <c r="X43" s="154" t="s">
        <v>11</v>
      </c>
      <c r="Y43" s="155"/>
      <c r="Z43" s="139">
        <f>Plan1!C14</f>
        <v>1048.2080000000001</v>
      </c>
      <c r="AA43" s="140"/>
      <c r="AB43" s="141"/>
      <c r="AC43" s="142">
        <v>18.89</v>
      </c>
      <c r="AD43" s="143"/>
      <c r="AE43" s="143"/>
      <c r="AF43" s="144"/>
      <c r="AG43" s="145">
        <f>Z43*AC43</f>
        <v>19800.649120000002</v>
      </c>
      <c r="AH43" s="146"/>
      <c r="AI43" s="146"/>
      <c r="AJ43" s="146"/>
      <c r="AK43" s="147"/>
      <c r="AL43" s="148">
        <f>(1+$AL$12)*AG43</f>
        <v>24249.854977264</v>
      </c>
      <c r="AM43" s="149"/>
      <c r="AN43" s="149"/>
      <c r="AO43" s="149"/>
      <c r="AP43" s="150"/>
      <c r="AQ43" s="67"/>
      <c r="AR43" s="68"/>
      <c r="AS43" s="68"/>
      <c r="AT43" s="68"/>
      <c r="AU43" s="69"/>
      <c r="AV43" s="67"/>
      <c r="AW43" s="68"/>
      <c r="AX43" s="68"/>
      <c r="AY43" s="68"/>
      <c r="AZ43" s="69"/>
    </row>
    <row r="44" spans="2:52" ht="12.75" outlineLevel="1" x14ac:dyDescent="0.2">
      <c r="B44" s="65"/>
      <c r="C44" s="64"/>
      <c r="D44" s="64"/>
      <c r="E44" s="66"/>
      <c r="F44" s="64" t="s">
        <v>121</v>
      </c>
      <c r="G44" s="151" t="s">
        <v>122</v>
      </c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3"/>
      <c r="X44" s="154" t="s">
        <v>11</v>
      </c>
      <c r="Y44" s="155"/>
      <c r="Z44" s="139">
        <f>Plan1!D16</f>
        <v>8.4</v>
      </c>
      <c r="AA44" s="140"/>
      <c r="AB44" s="141"/>
      <c r="AC44" s="142">
        <v>657.25</v>
      </c>
      <c r="AD44" s="143"/>
      <c r="AE44" s="143"/>
      <c r="AF44" s="144"/>
      <c r="AG44" s="145">
        <f>Z44*AC44</f>
        <v>5520.9000000000005</v>
      </c>
      <c r="AH44" s="146"/>
      <c r="AI44" s="146"/>
      <c r="AJ44" s="146"/>
      <c r="AK44" s="147"/>
      <c r="AL44" s="148">
        <f>(1+$AL$12)*AG44</f>
        <v>6761.4462300000005</v>
      </c>
      <c r="AM44" s="149"/>
      <c r="AN44" s="149"/>
      <c r="AO44" s="149"/>
      <c r="AP44" s="150"/>
      <c r="AQ44" s="67"/>
      <c r="AR44" s="68"/>
      <c r="AS44" s="68"/>
      <c r="AT44" s="68"/>
      <c r="AU44" s="69"/>
      <c r="AV44" s="67"/>
      <c r="AW44" s="68"/>
      <c r="AX44" s="68"/>
      <c r="AY44" s="68"/>
      <c r="AZ44" s="69"/>
    </row>
    <row r="45" spans="2:52" ht="12.75" outlineLevel="1" x14ac:dyDescent="0.2">
      <c r="B45" s="65"/>
      <c r="C45" s="64"/>
      <c r="D45" s="64"/>
      <c r="E45" s="66"/>
      <c r="F45" s="64" t="s">
        <v>80</v>
      </c>
      <c r="G45" s="151" t="s">
        <v>133</v>
      </c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3"/>
      <c r="X45" s="154" t="s">
        <v>11</v>
      </c>
      <c r="Y45" s="155"/>
      <c r="Z45" s="139">
        <f>Plan1!D18+Plan1!D31</f>
        <v>183.54</v>
      </c>
      <c r="AA45" s="140"/>
      <c r="AB45" s="141"/>
      <c r="AC45" s="142">
        <v>29.68</v>
      </c>
      <c r="AD45" s="143"/>
      <c r="AE45" s="143"/>
      <c r="AF45" s="144"/>
      <c r="AG45" s="145">
        <f>Z45*AC45</f>
        <v>5447.4672</v>
      </c>
      <c r="AH45" s="146"/>
      <c r="AI45" s="146"/>
      <c r="AJ45" s="146"/>
      <c r="AK45" s="147"/>
      <c r="AL45" s="148">
        <f>(1+$AL$12)*AG45</f>
        <v>6671.5130798399996</v>
      </c>
      <c r="AM45" s="149"/>
      <c r="AN45" s="149"/>
      <c r="AO45" s="149"/>
      <c r="AP45" s="150"/>
      <c r="AQ45" s="67"/>
      <c r="AR45" s="68"/>
      <c r="AS45" s="68"/>
      <c r="AT45" s="68"/>
      <c r="AU45" s="69"/>
      <c r="AV45" s="67"/>
      <c r="AW45" s="68"/>
      <c r="AX45" s="68"/>
      <c r="AY45" s="68"/>
      <c r="AZ45" s="69"/>
    </row>
    <row r="46" spans="2:52" ht="12.75" outlineLevel="1" x14ac:dyDescent="0.2">
      <c r="B46" s="65"/>
      <c r="C46" s="64"/>
      <c r="D46" s="64"/>
      <c r="E46" s="66"/>
      <c r="F46" s="64" t="s">
        <v>16</v>
      </c>
      <c r="G46" s="156" t="s">
        <v>17</v>
      </c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8"/>
      <c r="X46" s="154" t="s">
        <v>11</v>
      </c>
      <c r="Y46" s="155"/>
      <c r="Z46" s="139">
        <f>Plan1!D26</f>
        <v>80.850000000000009</v>
      </c>
      <c r="AA46" s="140"/>
      <c r="AB46" s="141"/>
      <c r="AC46" s="142">
        <v>269.64999999999998</v>
      </c>
      <c r="AD46" s="143"/>
      <c r="AE46" s="143"/>
      <c r="AF46" s="144"/>
      <c r="AG46" s="145">
        <f>Z46*AC46</f>
        <v>21801.202499999999</v>
      </c>
      <c r="AH46" s="146"/>
      <c r="AI46" s="146"/>
      <c r="AJ46" s="146"/>
      <c r="AK46" s="147"/>
      <c r="AL46" s="148">
        <f t="shared" si="19"/>
        <v>26699.932701749996</v>
      </c>
      <c r="AM46" s="149"/>
      <c r="AN46" s="149"/>
      <c r="AO46" s="149"/>
      <c r="AP46" s="150"/>
      <c r="AQ46" s="67"/>
      <c r="AR46" s="68"/>
      <c r="AS46" s="68"/>
      <c r="AT46" s="68"/>
      <c r="AU46" s="69"/>
      <c r="AV46" s="67"/>
      <c r="AW46" s="68"/>
      <c r="AX46" s="68"/>
      <c r="AY46" s="68"/>
      <c r="AZ46" s="69"/>
    </row>
    <row r="47" spans="2:52" ht="12.75" outlineLevel="1" x14ac:dyDescent="0.2">
      <c r="B47" s="65"/>
      <c r="C47" s="64"/>
      <c r="D47" s="64"/>
      <c r="E47" s="66"/>
      <c r="F47" s="64" t="s">
        <v>113</v>
      </c>
      <c r="G47" s="151" t="s">
        <v>114</v>
      </c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3"/>
      <c r="X47" s="154" t="s">
        <v>11</v>
      </c>
      <c r="Y47" s="155"/>
      <c r="Z47" s="139">
        <f>Plan1!D28</f>
        <v>2.52</v>
      </c>
      <c r="AA47" s="140"/>
      <c r="AB47" s="141"/>
      <c r="AC47" s="142">
        <v>1065.07</v>
      </c>
      <c r="AD47" s="143"/>
      <c r="AE47" s="143"/>
      <c r="AF47" s="144"/>
      <c r="AG47" s="145">
        <f t="shared" ref="AG47" si="20">Z47*AC47</f>
        <v>2683.9764</v>
      </c>
      <c r="AH47" s="146"/>
      <c r="AI47" s="146"/>
      <c r="AJ47" s="146"/>
      <c r="AK47" s="147"/>
      <c r="AL47" s="148">
        <f t="shared" ref="AL47" si="21">(1+$AL$12)*AG47</f>
        <v>3287.0658970799996</v>
      </c>
      <c r="AM47" s="149"/>
      <c r="AN47" s="149"/>
      <c r="AO47" s="149"/>
      <c r="AP47" s="150"/>
      <c r="AQ47" s="67"/>
      <c r="AR47" s="68"/>
      <c r="AS47" s="68"/>
      <c r="AT47" s="68"/>
      <c r="AU47" s="69"/>
      <c r="AV47" s="67"/>
      <c r="AW47" s="68"/>
      <c r="AX47" s="68"/>
      <c r="AY47" s="68"/>
      <c r="AZ47" s="69"/>
    </row>
    <row r="48" spans="2:52" ht="12.75" outlineLevel="1" x14ac:dyDescent="0.2">
      <c r="B48" s="65"/>
      <c r="C48" s="64"/>
      <c r="D48" s="64"/>
      <c r="E48" s="66"/>
      <c r="F48" s="64" t="s">
        <v>119</v>
      </c>
      <c r="G48" s="151" t="s">
        <v>120</v>
      </c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3"/>
      <c r="X48" s="154" t="s">
        <v>71</v>
      </c>
      <c r="Y48" s="155"/>
      <c r="Z48" s="139">
        <v>1</v>
      </c>
      <c r="AA48" s="140"/>
      <c r="AB48" s="141"/>
      <c r="AC48" s="142">
        <v>167</v>
      </c>
      <c r="AD48" s="143"/>
      <c r="AE48" s="143"/>
      <c r="AF48" s="144"/>
      <c r="AG48" s="145">
        <f t="shared" ref="AG48" si="22">Z48*AC48</f>
        <v>167</v>
      </c>
      <c r="AH48" s="146"/>
      <c r="AI48" s="146"/>
      <c r="AJ48" s="146"/>
      <c r="AK48" s="147"/>
      <c r="AL48" s="148">
        <f t="shared" ref="AL48" si="23">(1+$AL$12)*AG48</f>
        <v>204.52489999999997</v>
      </c>
      <c r="AM48" s="149"/>
      <c r="AN48" s="149"/>
      <c r="AO48" s="149"/>
      <c r="AP48" s="150"/>
      <c r="AQ48" s="67"/>
      <c r="AR48" s="68"/>
      <c r="AS48" s="68"/>
      <c r="AT48" s="68"/>
      <c r="AU48" s="69"/>
      <c r="AV48" s="67"/>
      <c r="AW48" s="68"/>
      <c r="AX48" s="68"/>
      <c r="AY48" s="68"/>
      <c r="AZ48" s="69"/>
    </row>
    <row r="49" spans="2:52" ht="12.75" outlineLevel="1" x14ac:dyDescent="0.2">
      <c r="B49" s="65"/>
      <c r="C49" s="64"/>
      <c r="D49" s="64"/>
      <c r="E49" s="66"/>
      <c r="F49" s="64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9"/>
      <c r="X49" s="65"/>
      <c r="Y49" s="66"/>
      <c r="Z49" s="80"/>
      <c r="AA49" s="81"/>
      <c r="AB49" s="82"/>
      <c r="AC49" s="83"/>
      <c r="AD49" s="84"/>
      <c r="AE49" s="84"/>
      <c r="AF49" s="85"/>
      <c r="AG49" s="86"/>
      <c r="AH49" s="87"/>
      <c r="AI49" s="87"/>
      <c r="AJ49" s="87"/>
      <c r="AK49" s="88"/>
      <c r="AL49" s="67"/>
      <c r="AM49" s="68"/>
      <c r="AN49" s="68"/>
      <c r="AO49" s="68"/>
      <c r="AP49" s="69"/>
      <c r="AQ49" s="67"/>
      <c r="AR49" s="68"/>
      <c r="AS49" s="68"/>
      <c r="AT49" s="68"/>
      <c r="AU49" s="69"/>
      <c r="AV49" s="67"/>
      <c r="AW49" s="68"/>
      <c r="AX49" s="68"/>
      <c r="AY49" s="68"/>
      <c r="AZ49" s="69"/>
    </row>
    <row r="50" spans="2:52" ht="12.75" outlineLevel="1" x14ac:dyDescent="0.2">
      <c r="B50" s="160">
        <v>6</v>
      </c>
      <c r="C50" s="161"/>
      <c r="D50" s="161"/>
      <c r="E50" s="162"/>
      <c r="F50" s="163" t="s">
        <v>29</v>
      </c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5"/>
      <c r="X50" s="70"/>
      <c r="Y50" s="71"/>
      <c r="Z50" s="72"/>
      <c r="AA50" s="73"/>
      <c r="AB50" s="74"/>
      <c r="AC50" s="75"/>
      <c r="AD50" s="76"/>
      <c r="AE50" s="76"/>
      <c r="AF50" s="77"/>
      <c r="AG50" s="166">
        <f>SUM(AG51:AK61)</f>
        <v>48541.994067999993</v>
      </c>
      <c r="AH50" s="167"/>
      <c r="AI50" s="167"/>
      <c r="AJ50" s="167"/>
      <c r="AK50" s="168"/>
      <c r="AL50" s="166">
        <f>SUM(AL51:AP61)</f>
        <v>59449.380135079598</v>
      </c>
      <c r="AM50" s="167"/>
      <c r="AN50" s="167"/>
      <c r="AO50" s="167"/>
      <c r="AP50" s="168"/>
      <c r="AQ50" s="67"/>
      <c r="AR50" s="68"/>
      <c r="AS50" s="68"/>
      <c r="AT50" s="68"/>
      <c r="AU50" s="69"/>
      <c r="AV50" s="67"/>
      <c r="AW50" s="68"/>
      <c r="AX50" s="68"/>
      <c r="AY50" s="68"/>
      <c r="AZ50" s="69"/>
    </row>
    <row r="51" spans="2:52" ht="25.5" customHeight="1" outlineLevel="1" x14ac:dyDescent="0.2">
      <c r="B51" s="65"/>
      <c r="C51" s="64"/>
      <c r="D51" s="64"/>
      <c r="E51" s="66"/>
      <c r="F51" s="100" t="s">
        <v>129</v>
      </c>
      <c r="G51" s="156" t="s">
        <v>76</v>
      </c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8"/>
      <c r="X51" s="154" t="s">
        <v>77</v>
      </c>
      <c r="Y51" s="155"/>
      <c r="Z51" s="139">
        <v>24</v>
      </c>
      <c r="AA51" s="140"/>
      <c r="AB51" s="141"/>
      <c r="AC51" s="142">
        <v>5.66</v>
      </c>
      <c r="AD51" s="143"/>
      <c r="AE51" s="143"/>
      <c r="AF51" s="144"/>
      <c r="AG51" s="145">
        <f>Z51*AC51</f>
        <v>135.84</v>
      </c>
      <c r="AH51" s="146"/>
      <c r="AI51" s="146"/>
      <c r="AJ51" s="146"/>
      <c r="AK51" s="147"/>
      <c r="AL51" s="148">
        <f>AG51*(1+$AL$12)</f>
        <v>166.363248</v>
      </c>
      <c r="AM51" s="149"/>
      <c r="AN51" s="149"/>
      <c r="AO51" s="149"/>
      <c r="AP51" s="150"/>
      <c r="AQ51" s="67"/>
      <c r="AR51" s="68"/>
      <c r="AS51" s="68"/>
      <c r="AT51" s="68"/>
      <c r="AU51" s="69"/>
      <c r="AV51" s="67"/>
      <c r="AW51" s="68"/>
      <c r="AX51" s="68"/>
      <c r="AY51" s="68"/>
      <c r="AZ51" s="69"/>
    </row>
    <row r="52" spans="2:52" ht="12.75" outlineLevel="1" x14ac:dyDescent="0.2">
      <c r="B52" s="65"/>
      <c r="C52" s="64"/>
      <c r="D52" s="64"/>
      <c r="E52" s="66"/>
      <c r="F52" s="64" t="s">
        <v>18</v>
      </c>
      <c r="G52" s="156" t="s">
        <v>19</v>
      </c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8"/>
      <c r="X52" s="154" t="s">
        <v>11</v>
      </c>
      <c r="Y52" s="155"/>
      <c r="Z52" s="139">
        <v>2616.46</v>
      </c>
      <c r="AA52" s="140"/>
      <c r="AB52" s="141"/>
      <c r="AC52" s="142">
        <v>8.8800000000000008</v>
      </c>
      <c r="AD52" s="143"/>
      <c r="AE52" s="143"/>
      <c r="AF52" s="144"/>
      <c r="AG52" s="145">
        <f t="shared" ref="AG52:AG56" si="24">Z52*AC52</f>
        <v>23234.164800000002</v>
      </c>
      <c r="AH52" s="146"/>
      <c r="AI52" s="146"/>
      <c r="AJ52" s="146"/>
      <c r="AK52" s="147"/>
      <c r="AL52" s="148">
        <f>AG52*(1+$AL$12)</f>
        <v>28454.881630560001</v>
      </c>
      <c r="AM52" s="149"/>
      <c r="AN52" s="149"/>
      <c r="AO52" s="149"/>
      <c r="AP52" s="150"/>
      <c r="AQ52" s="67"/>
      <c r="AR52" s="68"/>
      <c r="AS52" s="68"/>
      <c r="AT52" s="68"/>
      <c r="AU52" s="69"/>
      <c r="AV52" s="67"/>
      <c r="AW52" s="68"/>
      <c r="AX52" s="68"/>
      <c r="AY52" s="68"/>
      <c r="AZ52" s="69"/>
    </row>
    <row r="53" spans="2:52" ht="12.75" outlineLevel="1" x14ac:dyDescent="0.2">
      <c r="B53" s="65"/>
      <c r="C53" s="64"/>
      <c r="D53" s="64"/>
      <c r="E53" s="66"/>
      <c r="F53" s="64" t="s">
        <v>20</v>
      </c>
      <c r="G53" s="156" t="s">
        <v>134</v>
      </c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8"/>
      <c r="X53" s="154" t="s">
        <v>77</v>
      </c>
      <c r="Y53" s="155"/>
      <c r="Z53" s="139">
        <f>Plan1!C57*0.1</f>
        <v>29.243000000000002</v>
      </c>
      <c r="AA53" s="140"/>
      <c r="AB53" s="141"/>
      <c r="AC53" s="142">
        <v>109.27</v>
      </c>
      <c r="AD53" s="143"/>
      <c r="AE53" s="143"/>
      <c r="AF53" s="144"/>
      <c r="AG53" s="145">
        <f t="shared" si="24"/>
        <v>3195.3826100000001</v>
      </c>
      <c r="AH53" s="146"/>
      <c r="AI53" s="146"/>
      <c r="AJ53" s="146"/>
      <c r="AK53" s="147"/>
      <c r="AL53" s="148">
        <f t="shared" ref="AL53:AL60" si="25">AG53*(1+$AL$12)</f>
        <v>3913.3850824669998</v>
      </c>
      <c r="AM53" s="149"/>
      <c r="AN53" s="149"/>
      <c r="AO53" s="149"/>
      <c r="AP53" s="150"/>
      <c r="AQ53" s="67"/>
      <c r="AR53" s="68"/>
      <c r="AS53" s="68"/>
      <c r="AT53" s="68"/>
      <c r="AU53" s="69"/>
      <c r="AV53" s="67"/>
      <c r="AW53" s="68"/>
      <c r="AX53" s="68"/>
      <c r="AY53" s="68"/>
      <c r="AZ53" s="69"/>
    </row>
    <row r="54" spans="2:52" ht="37.5" customHeight="1" outlineLevel="1" x14ac:dyDescent="0.2">
      <c r="B54" s="65"/>
      <c r="C54" s="64"/>
      <c r="D54" s="64"/>
      <c r="E54" s="66"/>
      <c r="F54" s="100" t="s">
        <v>137</v>
      </c>
      <c r="G54" s="156" t="s">
        <v>136</v>
      </c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8"/>
      <c r="X54" s="154" t="s">
        <v>77</v>
      </c>
      <c r="Y54" s="155"/>
      <c r="Z54" s="139">
        <f>Plan1!D39*0.1</f>
        <v>11.696</v>
      </c>
      <c r="AA54" s="140"/>
      <c r="AB54" s="141"/>
      <c r="AC54" s="142">
        <f>AC58</f>
        <v>553.04999999999995</v>
      </c>
      <c r="AD54" s="143"/>
      <c r="AE54" s="143"/>
      <c r="AF54" s="144"/>
      <c r="AG54" s="145">
        <f t="shared" ref="AG54" si="26">Z54*AC54</f>
        <v>6468.4727999999996</v>
      </c>
      <c r="AH54" s="146"/>
      <c r="AI54" s="146"/>
      <c r="AJ54" s="146"/>
      <c r="AK54" s="147"/>
      <c r="AL54" s="148">
        <f t="shared" ref="AL54" si="27">AG54*(1+$AL$12)</f>
        <v>7921.9386381599988</v>
      </c>
      <c r="AM54" s="149"/>
      <c r="AN54" s="149"/>
      <c r="AO54" s="149"/>
      <c r="AP54" s="150"/>
      <c r="AQ54" s="67"/>
      <c r="AR54" s="68"/>
      <c r="AS54" s="68"/>
      <c r="AT54" s="68"/>
      <c r="AU54" s="69"/>
      <c r="AV54" s="67"/>
      <c r="AW54" s="68"/>
      <c r="AX54" s="68"/>
      <c r="AY54" s="68"/>
      <c r="AZ54" s="69"/>
    </row>
    <row r="55" spans="2:52" ht="12.75" outlineLevel="1" x14ac:dyDescent="0.2">
      <c r="B55" s="65"/>
      <c r="C55" s="64"/>
      <c r="D55" s="64"/>
      <c r="E55" s="66"/>
      <c r="F55" s="64">
        <v>73446</v>
      </c>
      <c r="G55" s="156" t="s">
        <v>138</v>
      </c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8"/>
      <c r="X55" s="154" t="s">
        <v>11</v>
      </c>
      <c r="Y55" s="155"/>
      <c r="Z55" s="139">
        <f>Plan1!D42</f>
        <v>330.58</v>
      </c>
      <c r="AA55" s="140"/>
      <c r="AB55" s="141"/>
      <c r="AC55" s="142">
        <v>22.43</v>
      </c>
      <c r="AD55" s="143"/>
      <c r="AE55" s="143"/>
      <c r="AF55" s="144"/>
      <c r="AG55" s="145">
        <f t="shared" ref="AG55" si="28">Z55*AC55</f>
        <v>7414.9093999999996</v>
      </c>
      <c r="AH55" s="146"/>
      <c r="AI55" s="146"/>
      <c r="AJ55" s="146"/>
      <c r="AK55" s="147"/>
      <c r="AL55" s="148">
        <f t="shared" ref="AL55" si="29">AG55*(1+$AL$12)</f>
        <v>9081.0395421799985</v>
      </c>
      <c r="AM55" s="149"/>
      <c r="AN55" s="149"/>
      <c r="AO55" s="149"/>
      <c r="AP55" s="150"/>
      <c r="AQ55" s="67"/>
      <c r="AR55" s="68"/>
      <c r="AS55" s="68"/>
      <c r="AT55" s="68"/>
      <c r="AU55" s="69"/>
      <c r="AV55" s="67"/>
      <c r="AW55" s="68"/>
      <c r="AX55" s="68"/>
      <c r="AY55" s="68"/>
      <c r="AZ55" s="69"/>
    </row>
    <row r="56" spans="2:52" ht="12.75" outlineLevel="1" x14ac:dyDescent="0.2">
      <c r="B56" s="65"/>
      <c r="C56" s="64"/>
      <c r="D56" s="64"/>
      <c r="E56" s="66"/>
      <c r="F56" s="64" t="s">
        <v>68</v>
      </c>
      <c r="G56" s="156" t="s">
        <v>70</v>
      </c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8"/>
      <c r="X56" s="154" t="s">
        <v>69</v>
      </c>
      <c r="Y56" s="155"/>
      <c r="Z56" s="139">
        <v>31</v>
      </c>
      <c r="AA56" s="140"/>
      <c r="AB56" s="141"/>
      <c r="AC56" s="142">
        <v>57.45</v>
      </c>
      <c r="AD56" s="143"/>
      <c r="AE56" s="143"/>
      <c r="AF56" s="144"/>
      <c r="AG56" s="145">
        <f t="shared" si="24"/>
        <v>1780.95</v>
      </c>
      <c r="AH56" s="146"/>
      <c r="AI56" s="146"/>
      <c r="AJ56" s="146"/>
      <c r="AK56" s="147"/>
      <c r="AL56" s="148">
        <f t="shared" ref="AL56" si="30">AG56*(1+$AL$12)</f>
        <v>2181.129465</v>
      </c>
      <c r="AM56" s="149"/>
      <c r="AN56" s="149"/>
      <c r="AO56" s="149"/>
      <c r="AP56" s="150"/>
      <c r="AQ56" s="67"/>
      <c r="AR56" s="68"/>
      <c r="AS56" s="68"/>
      <c r="AT56" s="68"/>
      <c r="AU56" s="69"/>
      <c r="AV56" s="67"/>
      <c r="AW56" s="68"/>
      <c r="AX56" s="68"/>
      <c r="AY56" s="68"/>
      <c r="AZ56" s="69"/>
    </row>
    <row r="57" spans="2:52" ht="12.75" outlineLevel="1" x14ac:dyDescent="0.2">
      <c r="B57" s="65"/>
      <c r="C57" s="64"/>
      <c r="D57" s="64"/>
      <c r="E57" s="66"/>
      <c r="F57" s="64" t="s">
        <v>116</v>
      </c>
      <c r="G57" s="156" t="s">
        <v>130</v>
      </c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8"/>
      <c r="X57" s="154" t="s">
        <v>77</v>
      </c>
      <c r="Y57" s="155"/>
      <c r="Z57" s="139">
        <f>Z59*2*0.03</f>
        <v>1.7777999999999998</v>
      </c>
      <c r="AA57" s="140"/>
      <c r="AB57" s="141"/>
      <c r="AC57" s="142">
        <v>162.36000000000001</v>
      </c>
      <c r="AD57" s="143"/>
      <c r="AE57" s="143"/>
      <c r="AF57" s="144"/>
      <c r="AG57" s="145">
        <f t="shared" ref="AG57" si="31">Z57*AC57</f>
        <v>288.64360799999997</v>
      </c>
      <c r="AH57" s="146"/>
      <c r="AI57" s="146"/>
      <c r="AJ57" s="146"/>
      <c r="AK57" s="147"/>
      <c r="AL57" s="148">
        <f t="shared" ref="AL57" si="32">AG57*(1+$AL$12)</f>
        <v>353.50182671759995</v>
      </c>
      <c r="AM57" s="149"/>
      <c r="AN57" s="149"/>
      <c r="AO57" s="149"/>
      <c r="AP57" s="150"/>
      <c r="AQ57" s="67"/>
      <c r="AR57" s="68"/>
      <c r="AS57" s="68"/>
      <c r="AT57" s="68"/>
      <c r="AU57" s="69"/>
      <c r="AV57" s="67"/>
      <c r="AW57" s="68"/>
      <c r="AX57" s="68"/>
      <c r="AY57" s="68"/>
      <c r="AZ57" s="69"/>
    </row>
    <row r="58" spans="2:52" ht="25.5" customHeight="1" outlineLevel="1" x14ac:dyDescent="0.2">
      <c r="B58" s="65"/>
      <c r="C58" s="64"/>
      <c r="D58" s="64"/>
      <c r="E58" s="66"/>
      <c r="F58" s="100" t="str">
        <f>F54</f>
        <v>SINAPI 94990</v>
      </c>
      <c r="G58" s="156" t="s">
        <v>135</v>
      </c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8"/>
      <c r="X58" s="154" t="s">
        <v>77</v>
      </c>
      <c r="Y58" s="155"/>
      <c r="Z58" s="139">
        <f>Z59*3*0.1</f>
        <v>8.8890000000000011</v>
      </c>
      <c r="AA58" s="140"/>
      <c r="AB58" s="141"/>
      <c r="AC58" s="142">
        <v>553.04999999999995</v>
      </c>
      <c r="AD58" s="143"/>
      <c r="AE58" s="143"/>
      <c r="AF58" s="144"/>
      <c r="AG58" s="145">
        <f t="shared" ref="AG58" si="33">Z58*AC58</f>
        <v>4916.0614500000001</v>
      </c>
      <c r="AH58" s="146"/>
      <c r="AI58" s="146"/>
      <c r="AJ58" s="146"/>
      <c r="AK58" s="147"/>
      <c r="AL58" s="148">
        <f t="shared" ref="AL58" si="34">AG58*(1+$AL$12)</f>
        <v>6020.7004578149999</v>
      </c>
      <c r="AM58" s="149"/>
      <c r="AN58" s="149"/>
      <c r="AO58" s="149"/>
      <c r="AP58" s="150"/>
      <c r="AQ58" s="67"/>
      <c r="AR58" s="68"/>
      <c r="AS58" s="68"/>
      <c r="AT58" s="68"/>
      <c r="AU58" s="69"/>
      <c r="AV58" s="67"/>
      <c r="AW58" s="68"/>
      <c r="AX58" s="68"/>
      <c r="AY58" s="68"/>
      <c r="AZ58" s="69"/>
    </row>
    <row r="59" spans="2:52" ht="12.75" outlineLevel="1" x14ac:dyDescent="0.2">
      <c r="B59" s="65"/>
      <c r="C59" s="64"/>
      <c r="D59" s="64"/>
      <c r="E59" s="66"/>
      <c r="F59" s="64" t="s">
        <v>117</v>
      </c>
      <c r="G59" s="156" t="s">
        <v>118</v>
      </c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8"/>
      <c r="X59" s="154" t="s">
        <v>69</v>
      </c>
      <c r="Y59" s="155"/>
      <c r="Z59" s="139">
        <f>Plan1!D33</f>
        <v>29.63</v>
      </c>
      <c r="AA59" s="140"/>
      <c r="AB59" s="141"/>
      <c r="AC59" s="142">
        <v>37.380000000000003</v>
      </c>
      <c r="AD59" s="143"/>
      <c r="AE59" s="143"/>
      <c r="AF59" s="144"/>
      <c r="AG59" s="145">
        <f t="shared" ref="AG59" si="35">Z59*AC59</f>
        <v>1107.5694000000001</v>
      </c>
      <c r="AH59" s="146"/>
      <c r="AI59" s="146"/>
      <c r="AJ59" s="146"/>
      <c r="AK59" s="147"/>
      <c r="AL59" s="148">
        <f t="shared" ref="AL59" si="36">AG59*(1+$AL$12)</f>
        <v>1356.44024418</v>
      </c>
      <c r="AM59" s="149"/>
      <c r="AN59" s="149"/>
      <c r="AO59" s="149"/>
      <c r="AP59" s="150"/>
      <c r="AQ59" s="67"/>
      <c r="AR59" s="68"/>
      <c r="AS59" s="68"/>
      <c r="AT59" s="68"/>
      <c r="AU59" s="69"/>
      <c r="AV59" s="67"/>
      <c r="AW59" s="68"/>
      <c r="AX59" s="68"/>
      <c r="AY59" s="68"/>
      <c r="AZ59" s="69"/>
    </row>
    <row r="60" spans="2:52" ht="12.75" outlineLevel="1" x14ac:dyDescent="0.2">
      <c r="B60" s="65"/>
      <c r="C60" s="64"/>
      <c r="D60" s="64"/>
      <c r="E60" s="66"/>
      <c r="F60" s="64"/>
      <c r="G60" s="156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8"/>
      <c r="X60" s="154"/>
      <c r="Y60" s="155"/>
      <c r="Z60" s="139"/>
      <c r="AA60" s="140"/>
      <c r="AB60" s="141"/>
      <c r="AC60" s="142"/>
      <c r="AD60" s="143"/>
      <c r="AE60" s="143"/>
      <c r="AF60" s="144"/>
      <c r="AG60" s="145"/>
      <c r="AH60" s="146"/>
      <c r="AI60" s="146"/>
      <c r="AJ60" s="146"/>
      <c r="AK60" s="147"/>
      <c r="AL60" s="148">
        <f t="shared" si="25"/>
        <v>0</v>
      </c>
      <c r="AM60" s="149"/>
      <c r="AN60" s="149"/>
      <c r="AO60" s="149"/>
      <c r="AP60" s="150"/>
      <c r="AQ60" s="67"/>
      <c r="AR60" s="68"/>
      <c r="AS60" s="68"/>
      <c r="AT60" s="68"/>
      <c r="AU60" s="69"/>
      <c r="AV60" s="67"/>
      <c r="AW60" s="68"/>
      <c r="AX60" s="68"/>
      <c r="AY60" s="68"/>
      <c r="AZ60" s="69"/>
    </row>
    <row r="61" spans="2:52" ht="12.75" outlineLevel="1" x14ac:dyDescent="0.2">
      <c r="B61" s="154"/>
      <c r="C61" s="159"/>
      <c r="D61" s="159"/>
      <c r="E61" s="155"/>
      <c r="F61" s="64"/>
      <c r="G61" s="151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3"/>
      <c r="X61" s="154"/>
      <c r="Y61" s="155"/>
      <c r="Z61" s="139"/>
      <c r="AA61" s="140"/>
      <c r="AB61" s="141"/>
      <c r="AC61" s="142"/>
      <c r="AD61" s="143"/>
      <c r="AE61" s="143"/>
      <c r="AF61" s="144"/>
      <c r="AG61" s="145"/>
      <c r="AH61" s="146"/>
      <c r="AI61" s="146"/>
      <c r="AJ61" s="146"/>
      <c r="AK61" s="147"/>
      <c r="AL61" s="148"/>
      <c r="AM61" s="149"/>
      <c r="AN61" s="149"/>
      <c r="AO61" s="149"/>
      <c r="AP61" s="150"/>
      <c r="AQ61" s="148"/>
      <c r="AR61" s="149"/>
      <c r="AS61" s="149"/>
      <c r="AT61" s="149"/>
      <c r="AU61" s="150"/>
      <c r="AV61" s="148"/>
      <c r="AW61" s="149"/>
      <c r="AX61" s="149"/>
      <c r="AY61" s="149"/>
      <c r="AZ61" s="150"/>
    </row>
    <row r="62" spans="2:52" ht="12.75" x14ac:dyDescent="0.2">
      <c r="B62" s="202"/>
      <c r="C62" s="203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5"/>
      <c r="X62" s="202"/>
      <c r="Y62" s="203"/>
      <c r="Z62" s="201"/>
      <c r="AA62" s="201"/>
      <c r="AB62" s="201"/>
      <c r="AC62" s="201"/>
      <c r="AD62" s="199"/>
      <c r="AE62" s="199"/>
      <c r="AF62" s="200"/>
      <c r="AG62" s="206">
        <f>SUM(AG18:AK60)/2</f>
        <v>123568.94548800003</v>
      </c>
      <c r="AH62" s="207"/>
      <c r="AI62" s="207"/>
      <c r="AJ62" s="207"/>
      <c r="AK62" s="208"/>
      <c r="AL62" s="206">
        <f>SUM(AL18:AP60)/2</f>
        <v>151334.8875391536</v>
      </c>
      <c r="AM62" s="207"/>
      <c r="AN62" s="207"/>
      <c r="AO62" s="207"/>
      <c r="AP62" s="208"/>
      <c r="AQ62" s="219">
        <f>SUM(AQ19:AQ24)</f>
        <v>0</v>
      </c>
      <c r="AR62" s="220"/>
      <c r="AS62" s="220"/>
      <c r="AT62" s="220"/>
      <c r="AU62" s="221"/>
      <c r="AV62" s="148">
        <f>SUM(AV19:AV24)</f>
        <v>0</v>
      </c>
      <c r="AW62" s="149"/>
      <c r="AX62" s="149"/>
      <c r="AY62" s="149"/>
      <c r="AZ62" s="150"/>
    </row>
    <row r="63" spans="2:52" s="2" customFormat="1" ht="19.5" customHeight="1" x14ac:dyDescent="0.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2"/>
      <c r="AA63" s="102"/>
      <c r="AB63" s="102"/>
      <c r="AC63" s="102"/>
      <c r="AD63" s="103"/>
      <c r="AE63" s="103"/>
      <c r="AF63" s="103"/>
      <c r="AG63" s="101"/>
      <c r="AH63" s="101"/>
      <c r="AI63" s="101"/>
      <c r="AJ63" s="101"/>
      <c r="AK63" s="101"/>
      <c r="AL63" s="104"/>
      <c r="AM63" s="104"/>
      <c r="AN63" s="104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</row>
    <row r="64" spans="2:52" s="2" customFormat="1" ht="12" hidden="1" customHeight="1" x14ac:dyDescent="0.2">
      <c r="B64" s="105" t="s">
        <v>2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6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4"/>
      <c r="AM64" s="104"/>
      <c r="AN64" s="104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8"/>
    </row>
    <row r="65" spans="2:54" s="2" customFormat="1" hidden="1" x14ac:dyDescent="0.2">
      <c r="B65" s="211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3"/>
    </row>
    <row r="66" spans="2:54" s="2" customFormat="1" hidden="1" x14ac:dyDescent="0.2">
      <c r="B66" s="214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6"/>
    </row>
    <row r="67" spans="2:54" s="2" customFormat="1" hidden="1" x14ac:dyDescent="0.2">
      <c r="B67" s="214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6"/>
    </row>
    <row r="68" spans="2:54" s="2" customFormat="1" hidden="1" x14ac:dyDescent="0.2">
      <c r="B68" s="214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8"/>
    </row>
    <row r="69" spans="2:54" s="2" customFormat="1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7"/>
      <c r="AM69" s="17"/>
      <c r="AN69" s="17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</row>
    <row r="70" spans="2:54" s="2" customFormat="1" x14ac:dyDescent="0.2">
      <c r="B70" s="114"/>
      <c r="C70" s="114"/>
      <c r="D70" s="114"/>
      <c r="E70" s="114"/>
      <c r="F70" s="114"/>
      <c r="G70" s="114"/>
      <c r="H70" s="114"/>
      <c r="I70" s="115" t="s">
        <v>144</v>
      </c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09"/>
      <c r="AL70" s="111"/>
      <c r="AM70" s="111"/>
      <c r="AN70" s="111"/>
      <c r="AO70" s="112"/>
      <c r="AP70" s="112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2:54" s="2" customFormat="1" ht="23.25" customHeight="1" x14ac:dyDescent="0.2"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8"/>
      <c r="Y71" s="18"/>
      <c r="Z71" s="18"/>
      <c r="AA71" s="18"/>
      <c r="AB71" s="240" t="s">
        <v>142</v>
      </c>
      <c r="AC71" s="240"/>
      <c r="AD71" s="240"/>
      <c r="AE71" s="240"/>
      <c r="AF71" s="240"/>
      <c r="AG71" s="240"/>
      <c r="AH71" s="240"/>
      <c r="AI71" s="240"/>
      <c r="AJ71" s="240"/>
      <c r="AK71" s="240"/>
      <c r="AL71" s="113"/>
      <c r="AM71" s="113"/>
      <c r="AN71" s="113"/>
      <c r="AO71" s="113"/>
      <c r="AP71" s="113"/>
      <c r="AQ71" s="110"/>
      <c r="AR71" s="110"/>
      <c r="AS71" s="110"/>
      <c r="AT71" s="110"/>
      <c r="AU71" s="110"/>
      <c r="AV71" s="110"/>
      <c r="AW71" s="110"/>
      <c r="AX71" s="110"/>
      <c r="AY71" s="20"/>
      <c r="AZ71" s="20"/>
    </row>
    <row r="72" spans="2:54" s="2" customFormat="1" ht="26.25" customHeight="1" x14ac:dyDescent="0.2"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8"/>
      <c r="Y72" s="18"/>
      <c r="Z72" s="18"/>
      <c r="AA72" s="18"/>
      <c r="AB72" s="241" t="s">
        <v>143</v>
      </c>
      <c r="AC72" s="241"/>
      <c r="AD72" s="241"/>
      <c r="AE72" s="241"/>
      <c r="AF72" s="241"/>
      <c r="AG72" s="241"/>
      <c r="AH72" s="241"/>
      <c r="AI72" s="241"/>
      <c r="AJ72" s="241"/>
      <c r="AK72" s="241"/>
      <c r="AL72" s="1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</row>
    <row r="73" spans="2:54" s="2" customFormat="1" x14ac:dyDescent="0.2"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09"/>
      <c r="AK73" s="109"/>
      <c r="AL73" s="19"/>
      <c r="AM73" s="1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</row>
    <row r="74" spans="2:54" s="2" customFormat="1" x14ac:dyDescent="0.2"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09"/>
      <c r="AK74" s="109"/>
      <c r="AL74" s="19"/>
      <c r="AM74" s="1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</row>
    <row r="75" spans="2:54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BA75" s="19"/>
      <c r="BB75" s="19"/>
    </row>
    <row r="76" spans="2:54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BA76" s="19"/>
      <c r="BB76" s="19"/>
    </row>
    <row r="77" spans="2:54" x14ac:dyDescent="0.2">
      <c r="AA77" s="26"/>
      <c r="AB77" s="25"/>
      <c r="AC77" s="210"/>
      <c r="AD77" s="210"/>
      <c r="AE77" s="210"/>
      <c r="BA77" s="19"/>
      <c r="BB77" s="19"/>
    </row>
  </sheetData>
  <mergeCells count="315">
    <mergeCell ref="B32:E32"/>
    <mergeCell ref="G40:W40"/>
    <mergeCell ref="AV39:AZ39"/>
    <mergeCell ref="AQ35:AU35"/>
    <mergeCell ref="AV35:AZ35"/>
    <mergeCell ref="AV33:AZ33"/>
    <mergeCell ref="AL39:AP39"/>
    <mergeCell ref="AB71:AK71"/>
    <mergeCell ref="AB72:AK72"/>
    <mergeCell ref="K11:O11"/>
    <mergeCell ref="Z58:AB58"/>
    <mergeCell ref="AC58:AF58"/>
    <mergeCell ref="AG58:AK58"/>
    <mergeCell ref="AL58:AP58"/>
    <mergeCell ref="G36:W36"/>
    <mergeCell ref="X36:Y36"/>
    <mergeCell ref="Z36:AB36"/>
    <mergeCell ref="AC36:AF36"/>
    <mergeCell ref="AG36:AK36"/>
    <mergeCell ref="AL36:AP36"/>
    <mergeCell ref="AG41:AK41"/>
    <mergeCell ref="AL41:AP41"/>
    <mergeCell ref="G33:W33"/>
    <mergeCell ref="X33:Y33"/>
    <mergeCell ref="Z33:AB33"/>
    <mergeCell ref="AC33:AF33"/>
    <mergeCell ref="AV31:AZ31"/>
    <mergeCell ref="AV40:AZ40"/>
    <mergeCell ref="AQ29:AU29"/>
    <mergeCell ref="AV29:AZ29"/>
    <mergeCell ref="AV34:AZ34"/>
    <mergeCell ref="AV36:AZ36"/>
    <mergeCell ref="AL26:AP26"/>
    <mergeCell ref="G30:W30"/>
    <mergeCell ref="X30:Y30"/>
    <mergeCell ref="Z30:AB30"/>
    <mergeCell ref="AC30:AF30"/>
    <mergeCell ref="AG30:AK30"/>
    <mergeCell ref="AL30:AP30"/>
    <mergeCell ref="AQ30:AU30"/>
    <mergeCell ref="AV30:AZ30"/>
    <mergeCell ref="AG27:AK27"/>
    <mergeCell ref="AG28:AK28"/>
    <mergeCell ref="G28:W28"/>
    <mergeCell ref="X28:Y28"/>
    <mergeCell ref="F32:W32"/>
    <mergeCell ref="AG32:AK32"/>
    <mergeCell ref="AL32:AP32"/>
    <mergeCell ref="AL38:AP38"/>
    <mergeCell ref="AQ33:AU33"/>
    <mergeCell ref="X40:Y40"/>
    <mergeCell ref="AQ40:AU40"/>
    <mergeCell ref="G39:W39"/>
    <mergeCell ref="X39:Y39"/>
    <mergeCell ref="B39:E39"/>
    <mergeCell ref="B33:E33"/>
    <mergeCell ref="B35:E35"/>
    <mergeCell ref="F38:W38"/>
    <mergeCell ref="AG38:AK38"/>
    <mergeCell ref="AG39:AK39"/>
    <mergeCell ref="AL40:AP40"/>
    <mergeCell ref="AG35:AK35"/>
    <mergeCell ref="AL35:AP35"/>
    <mergeCell ref="AQ39:AU39"/>
    <mergeCell ref="G35:W35"/>
    <mergeCell ref="X35:Y35"/>
    <mergeCell ref="Z35:AB35"/>
    <mergeCell ref="AC35:AF35"/>
    <mergeCell ref="AQ36:AU36"/>
    <mergeCell ref="B36:E36"/>
    <mergeCell ref="AG33:AK33"/>
    <mergeCell ref="AL33:AP33"/>
    <mergeCell ref="B5:AP5"/>
    <mergeCell ref="AL12:AP12"/>
    <mergeCell ref="AG20:AK20"/>
    <mergeCell ref="AG21:AK21"/>
    <mergeCell ref="AG23:AK23"/>
    <mergeCell ref="AG24:AK24"/>
    <mergeCell ref="AG25:AK25"/>
    <mergeCell ref="B18:E18"/>
    <mergeCell ref="X18:Y18"/>
    <mergeCell ref="Z18:AB18"/>
    <mergeCell ref="AC18:AF18"/>
    <mergeCell ref="AG18:AK18"/>
    <mergeCell ref="AL18:AP18"/>
    <mergeCell ref="B12:G12"/>
    <mergeCell ref="K12:O12"/>
    <mergeCell ref="X15:Y16"/>
    <mergeCell ref="B15:W15"/>
    <mergeCell ref="V12:AK12"/>
    <mergeCell ref="AG19:AK19"/>
    <mergeCell ref="Z24:AB24"/>
    <mergeCell ref="AL14:AZ14"/>
    <mergeCell ref="AV16:AZ16"/>
    <mergeCell ref="AC77:AE77"/>
    <mergeCell ref="B19:E19"/>
    <mergeCell ref="G19:W19"/>
    <mergeCell ref="X19:Y19"/>
    <mergeCell ref="Z19:AB19"/>
    <mergeCell ref="AC19:AF19"/>
    <mergeCell ref="B65:AZ68"/>
    <mergeCell ref="AQ62:AU62"/>
    <mergeCell ref="AV62:AZ62"/>
    <mergeCell ref="AL62:AP62"/>
    <mergeCell ref="AC42:AF42"/>
    <mergeCell ref="AC46:AF46"/>
    <mergeCell ref="AC52:AF52"/>
    <mergeCell ref="B27:E27"/>
    <mergeCell ref="AM72:AZ72"/>
    <mergeCell ref="AN73:AZ73"/>
    <mergeCell ref="G52:W52"/>
    <mergeCell ref="G53:W53"/>
    <mergeCell ref="X53:Y53"/>
    <mergeCell ref="Z53:AB53"/>
    <mergeCell ref="AC53:AF53"/>
    <mergeCell ref="G25:W25"/>
    <mergeCell ref="F50:W50"/>
    <mergeCell ref="B31:E31"/>
    <mergeCell ref="X55:Y55"/>
    <mergeCell ref="Z55:AB55"/>
    <mergeCell ref="AC55:AF55"/>
    <mergeCell ref="AG55:AK55"/>
    <mergeCell ref="AL55:AP55"/>
    <mergeCell ref="G58:W58"/>
    <mergeCell ref="X58:Y58"/>
    <mergeCell ref="G56:W56"/>
    <mergeCell ref="AN74:AZ74"/>
    <mergeCell ref="D62:W62"/>
    <mergeCell ref="B62:C62"/>
    <mergeCell ref="B61:E61"/>
    <mergeCell ref="AG62:AK62"/>
    <mergeCell ref="B29:E29"/>
    <mergeCell ref="G29:W29"/>
    <mergeCell ref="X29:Y29"/>
    <mergeCell ref="Z29:AB29"/>
    <mergeCell ref="AC29:AF29"/>
    <mergeCell ref="Z39:AB39"/>
    <mergeCell ref="Z40:AB40"/>
    <mergeCell ref="AC39:AF39"/>
    <mergeCell ref="AC40:AF40"/>
    <mergeCell ref="B50:E50"/>
    <mergeCell ref="B40:E40"/>
    <mergeCell ref="B38:E38"/>
    <mergeCell ref="G51:W51"/>
    <mergeCell ref="X51:Y51"/>
    <mergeCell ref="Z51:AB51"/>
    <mergeCell ref="AG42:AK42"/>
    <mergeCell ref="AG46:AK46"/>
    <mergeCell ref="G61:W61"/>
    <mergeCell ref="AG61:AK61"/>
    <mergeCell ref="AC61:AF61"/>
    <mergeCell ref="AD62:AF62"/>
    <mergeCell ref="Z62:AC62"/>
    <mergeCell ref="X62:Y62"/>
    <mergeCell ref="AV61:AZ61"/>
    <mergeCell ref="AQ61:AU61"/>
    <mergeCell ref="AL61:AP61"/>
    <mergeCell ref="Z61:AB61"/>
    <mergeCell ref="X61:Y61"/>
    <mergeCell ref="Z42:AB42"/>
    <mergeCell ref="Z46:AB46"/>
    <mergeCell ref="Z52:AB52"/>
    <mergeCell ref="AL50:AP50"/>
    <mergeCell ref="AL52:AP52"/>
    <mergeCell ref="AL53:AP53"/>
    <mergeCell ref="X60:Y60"/>
    <mergeCell ref="Z60:AB60"/>
    <mergeCell ref="AC60:AF60"/>
    <mergeCell ref="AL60:AP60"/>
    <mergeCell ref="AL42:AP42"/>
    <mergeCell ref="X42:Y42"/>
    <mergeCell ref="X54:Y54"/>
    <mergeCell ref="Z54:AB54"/>
    <mergeCell ref="AC54:AF54"/>
    <mergeCell ref="AG54:AK54"/>
    <mergeCell ref="G21:W21"/>
    <mergeCell ref="X21:Y21"/>
    <mergeCell ref="Z21:AB21"/>
    <mergeCell ref="AC21:AF21"/>
    <mergeCell ref="G20:W20"/>
    <mergeCell ref="X20:Y20"/>
    <mergeCell ref="Z25:AB25"/>
    <mergeCell ref="Z20:AB20"/>
    <mergeCell ref="AC20:AF20"/>
    <mergeCell ref="Z23:AB23"/>
    <mergeCell ref="AC23:AF23"/>
    <mergeCell ref="AQ16:AU16"/>
    <mergeCell ref="AV19:AZ19"/>
    <mergeCell ref="X14:AK14"/>
    <mergeCell ref="F18:W18"/>
    <mergeCell ref="Z15:AB16"/>
    <mergeCell ref="AG15:AK16"/>
    <mergeCell ref="AL15:AP16"/>
    <mergeCell ref="AV15:AZ15"/>
    <mergeCell ref="AQ15:AU15"/>
    <mergeCell ref="AL19:AP19"/>
    <mergeCell ref="AQ19:AU19"/>
    <mergeCell ref="AC15:AF16"/>
    <mergeCell ref="AQ18:AU18"/>
    <mergeCell ref="AV18:AZ18"/>
    <mergeCell ref="AG60:AK60"/>
    <mergeCell ref="G31:W31"/>
    <mergeCell ref="G57:W57"/>
    <mergeCell ref="X57:Y57"/>
    <mergeCell ref="Z57:AB57"/>
    <mergeCell ref="AC57:AF57"/>
    <mergeCell ref="AG57:AK57"/>
    <mergeCell ref="G44:W44"/>
    <mergeCell ref="X44:Y44"/>
    <mergeCell ref="AC31:AF31"/>
    <mergeCell ref="X31:Y31"/>
    <mergeCell ref="X46:Y46"/>
    <mergeCell ref="X52:Y52"/>
    <mergeCell ref="Z31:AB31"/>
    <mergeCell ref="AC51:AF51"/>
    <mergeCell ref="AG51:AK51"/>
    <mergeCell ref="X45:Y45"/>
    <mergeCell ref="X56:Y56"/>
    <mergeCell ref="G43:W43"/>
    <mergeCell ref="X43:Y43"/>
    <mergeCell ref="G60:W60"/>
    <mergeCell ref="G42:W42"/>
    <mergeCell ref="G46:W46"/>
    <mergeCell ref="G54:W54"/>
    <mergeCell ref="B41:E41"/>
    <mergeCell ref="F41:W41"/>
    <mergeCell ref="AL20:AP20"/>
    <mergeCell ref="AL21:AP21"/>
    <mergeCell ref="AL23:AP23"/>
    <mergeCell ref="AL24:AP24"/>
    <mergeCell ref="AL25:AP25"/>
    <mergeCell ref="AL27:AP27"/>
    <mergeCell ref="AL28:AP28"/>
    <mergeCell ref="AL31:AP31"/>
    <mergeCell ref="AG29:AK29"/>
    <mergeCell ref="AL29:AP29"/>
    <mergeCell ref="G24:W24"/>
    <mergeCell ref="X24:Y24"/>
    <mergeCell ref="AC24:AF24"/>
    <mergeCell ref="AG40:AK40"/>
    <mergeCell ref="Z28:AB28"/>
    <mergeCell ref="AC28:AF28"/>
    <mergeCell ref="X25:Y25"/>
    <mergeCell ref="B22:E22"/>
    <mergeCell ref="AC25:AF25"/>
    <mergeCell ref="F27:W27"/>
    <mergeCell ref="B30:E30"/>
    <mergeCell ref="AG31:AK31"/>
    <mergeCell ref="AL57:AP57"/>
    <mergeCell ref="G59:W59"/>
    <mergeCell ref="X59:Y59"/>
    <mergeCell ref="Z59:AB59"/>
    <mergeCell ref="AC59:AF59"/>
    <mergeCell ref="AG59:AK59"/>
    <mergeCell ref="AL59:AP59"/>
    <mergeCell ref="AL46:AP46"/>
    <mergeCell ref="AL48:AP48"/>
    <mergeCell ref="AL51:AP51"/>
    <mergeCell ref="Z56:AB56"/>
    <mergeCell ref="AC56:AF56"/>
    <mergeCell ref="AG56:AK56"/>
    <mergeCell ref="AL56:AP56"/>
    <mergeCell ref="G48:W48"/>
    <mergeCell ref="X48:Y48"/>
    <mergeCell ref="Z48:AB48"/>
    <mergeCell ref="AC48:AF48"/>
    <mergeCell ref="AG48:AK48"/>
    <mergeCell ref="AG50:AK50"/>
    <mergeCell ref="AG52:AK52"/>
    <mergeCell ref="AG53:AK53"/>
    <mergeCell ref="AL54:AP54"/>
    <mergeCell ref="G55:W55"/>
    <mergeCell ref="G22:W22"/>
    <mergeCell ref="X22:Y22"/>
    <mergeCell ref="Z22:AB22"/>
    <mergeCell ref="AC22:AF22"/>
    <mergeCell ref="AG22:AK22"/>
    <mergeCell ref="AL22:AP22"/>
    <mergeCell ref="AQ22:AU22"/>
    <mergeCell ref="AV22:AZ22"/>
    <mergeCell ref="B34:E34"/>
    <mergeCell ref="G34:W34"/>
    <mergeCell ref="X34:Y34"/>
    <mergeCell ref="Z34:AB34"/>
    <mergeCell ref="AC34:AF34"/>
    <mergeCell ref="AG34:AK34"/>
    <mergeCell ref="AL34:AP34"/>
    <mergeCell ref="AQ34:AU34"/>
    <mergeCell ref="G23:W23"/>
    <mergeCell ref="X23:Y23"/>
    <mergeCell ref="X26:Y26"/>
    <mergeCell ref="Z26:AB26"/>
    <mergeCell ref="AC26:AF26"/>
    <mergeCell ref="AG26:AK26"/>
    <mergeCell ref="G26:W26"/>
    <mergeCell ref="AQ31:AU31"/>
    <mergeCell ref="Z43:AB43"/>
    <mergeCell ref="AC43:AF43"/>
    <mergeCell ref="AG43:AK43"/>
    <mergeCell ref="AL43:AP43"/>
    <mergeCell ref="G47:W47"/>
    <mergeCell ref="X47:Y47"/>
    <mergeCell ref="Z47:AB47"/>
    <mergeCell ref="AC47:AF47"/>
    <mergeCell ref="AG47:AK47"/>
    <mergeCell ref="AL47:AP47"/>
    <mergeCell ref="AG44:AK44"/>
    <mergeCell ref="AL44:AP44"/>
    <mergeCell ref="AC44:AF44"/>
    <mergeCell ref="Z44:AB44"/>
    <mergeCell ref="G45:W45"/>
    <mergeCell ref="Z45:AB45"/>
    <mergeCell ref="AC45:AF45"/>
    <mergeCell ref="AG45:AK45"/>
    <mergeCell ref="AL45:AP45"/>
  </mergeCells>
  <phoneticPr fontId="0" type="noConversion"/>
  <conditionalFormatting sqref="AV19:AZ21 AV60:AZ60 AV27:AZ29 AV38:AZ38 AV50:AZ50 AV46:AZ46 AV24:AZ25 AV40:AZ42 AV52:AZ56">
    <cfRule type="cellIs" dxfId="39" priority="741" stopIfTrue="1" operator="equal">
      <formula>"ERRO"</formula>
    </cfRule>
  </conditionalFormatting>
  <conditionalFormatting sqref="AV23:AZ23">
    <cfRule type="cellIs" dxfId="38" priority="78" stopIfTrue="1" operator="equal">
      <formula>"ERRO"</formula>
    </cfRule>
  </conditionalFormatting>
  <conditionalFormatting sqref="AQ60:AU60 AQ27:AU29 AQ38:AU38 AQ50:AU50 AQ46:AU46 AQ40:AU43 AQ23:AU25 AQ19:AU21 AQ52:AU56">
    <cfRule type="expression" dxfId="37" priority="742" stopIfTrue="1">
      <formula>$AV19&gt;$AG19</formula>
    </cfRule>
  </conditionalFormatting>
  <conditionalFormatting sqref="AV61:AZ61">
    <cfRule type="cellIs" dxfId="36" priority="57" stopIfTrue="1" operator="equal">
      <formula>"ERRO"</formula>
    </cfRule>
  </conditionalFormatting>
  <conditionalFormatting sqref="AQ61:AU61">
    <cfRule type="expression" dxfId="35" priority="58" stopIfTrue="1">
      <formula>$AV61&gt;$AG61</formula>
    </cfRule>
  </conditionalFormatting>
  <conditionalFormatting sqref="AV18:AZ18">
    <cfRule type="cellIs" dxfId="34" priority="55" stopIfTrue="1" operator="equal">
      <formula>"ERRO"</formula>
    </cfRule>
  </conditionalFormatting>
  <conditionalFormatting sqref="AQ18:AU18">
    <cfRule type="expression" dxfId="33" priority="56" stopIfTrue="1">
      <formula>$AV18&gt;$AG18</formula>
    </cfRule>
  </conditionalFormatting>
  <conditionalFormatting sqref="AV51:AZ51">
    <cfRule type="cellIs" dxfId="32" priority="53" stopIfTrue="1" operator="equal">
      <formula>"ERRO"</formula>
    </cfRule>
  </conditionalFormatting>
  <conditionalFormatting sqref="AQ51:AU51">
    <cfRule type="expression" dxfId="31" priority="54" stopIfTrue="1">
      <formula>$AV51&gt;$AG51</formula>
    </cfRule>
  </conditionalFormatting>
  <conditionalFormatting sqref="AV30:AZ30">
    <cfRule type="cellIs" dxfId="30" priority="49" stopIfTrue="1" operator="equal">
      <formula>"ERRO"</formula>
    </cfRule>
  </conditionalFormatting>
  <conditionalFormatting sqref="AQ30:AU30">
    <cfRule type="expression" dxfId="29" priority="50" stopIfTrue="1">
      <formula>$AV30&gt;$AG30</formula>
    </cfRule>
  </conditionalFormatting>
  <conditionalFormatting sqref="AV31:AZ31">
    <cfRule type="cellIs" dxfId="28" priority="47" stopIfTrue="1" operator="equal">
      <formula>"ERRO"</formula>
    </cfRule>
  </conditionalFormatting>
  <conditionalFormatting sqref="AQ31:AU31">
    <cfRule type="expression" dxfId="27" priority="48" stopIfTrue="1">
      <formula>$AV31&gt;$AG31</formula>
    </cfRule>
  </conditionalFormatting>
  <conditionalFormatting sqref="AV32:AZ32">
    <cfRule type="cellIs" dxfId="26" priority="45" stopIfTrue="1" operator="equal">
      <formula>"ERRO"</formula>
    </cfRule>
  </conditionalFormatting>
  <conditionalFormatting sqref="AQ32:AU32">
    <cfRule type="expression" dxfId="25" priority="46" stopIfTrue="1">
      <formula>$AV32&gt;$AG32</formula>
    </cfRule>
  </conditionalFormatting>
  <conditionalFormatting sqref="AV26:AZ26">
    <cfRule type="cellIs" dxfId="24" priority="43" stopIfTrue="1" operator="equal">
      <formula>"ERRO"</formula>
    </cfRule>
  </conditionalFormatting>
  <conditionalFormatting sqref="AQ26:AU26">
    <cfRule type="expression" dxfId="23" priority="44" stopIfTrue="1">
      <formula>$AV26&gt;$AG26</formula>
    </cfRule>
  </conditionalFormatting>
  <conditionalFormatting sqref="AV39:AZ39">
    <cfRule type="cellIs" dxfId="22" priority="39" stopIfTrue="1" operator="equal">
      <formula>"ERRO"</formula>
    </cfRule>
  </conditionalFormatting>
  <conditionalFormatting sqref="AQ39:AU39">
    <cfRule type="expression" dxfId="21" priority="40" stopIfTrue="1">
      <formula>$AV39&gt;$AG39</formula>
    </cfRule>
  </conditionalFormatting>
  <conditionalFormatting sqref="AV33:AZ33">
    <cfRule type="cellIs" dxfId="20" priority="31" stopIfTrue="1" operator="equal">
      <formula>"ERRO"</formula>
    </cfRule>
  </conditionalFormatting>
  <conditionalFormatting sqref="AQ33:AU33">
    <cfRule type="expression" dxfId="19" priority="32" stopIfTrue="1">
      <formula>$AV33&gt;$AG33</formula>
    </cfRule>
  </conditionalFormatting>
  <conditionalFormatting sqref="AV35:AZ35 AV37:AZ37">
    <cfRule type="cellIs" dxfId="18" priority="29" stopIfTrue="1" operator="equal">
      <formula>"ERRO"</formula>
    </cfRule>
  </conditionalFormatting>
  <conditionalFormatting sqref="AQ35:AU35 AQ37:AU37">
    <cfRule type="expression" dxfId="17" priority="30" stopIfTrue="1">
      <formula>$AV35&gt;$AG35</formula>
    </cfRule>
  </conditionalFormatting>
  <conditionalFormatting sqref="AV43:AZ43">
    <cfRule type="cellIs" dxfId="16" priority="27" stopIfTrue="1" operator="equal">
      <formula>"ERRO"</formula>
    </cfRule>
  </conditionalFormatting>
  <conditionalFormatting sqref="AV47:AZ49">
    <cfRule type="cellIs" dxfId="15" priority="23" stopIfTrue="1" operator="equal">
      <formula>"ERRO"</formula>
    </cfRule>
  </conditionalFormatting>
  <conditionalFormatting sqref="AQ47:AU49">
    <cfRule type="expression" dxfId="14" priority="24" stopIfTrue="1">
      <formula>$AV47&gt;$AG47</formula>
    </cfRule>
  </conditionalFormatting>
  <conditionalFormatting sqref="AV57:AZ57 AV59:AZ59">
    <cfRule type="cellIs" dxfId="13" priority="21" stopIfTrue="1" operator="equal">
      <formula>"ERRO"</formula>
    </cfRule>
  </conditionalFormatting>
  <conditionalFormatting sqref="AQ57:AU57 AQ59:AU59">
    <cfRule type="expression" dxfId="12" priority="22" stopIfTrue="1">
      <formula>$AV57&gt;$AG57</formula>
    </cfRule>
  </conditionalFormatting>
  <conditionalFormatting sqref="AQ44:AU44">
    <cfRule type="expression" dxfId="11" priority="16" stopIfTrue="1">
      <formula>$AV44&gt;$AG44</formula>
    </cfRule>
  </conditionalFormatting>
  <conditionalFormatting sqref="AV44:AZ44">
    <cfRule type="cellIs" dxfId="10" priority="15" stopIfTrue="1" operator="equal">
      <formula>"ERRO"</formula>
    </cfRule>
  </conditionalFormatting>
  <conditionalFormatting sqref="AV22:AZ22">
    <cfRule type="cellIs" dxfId="9" priority="13" stopIfTrue="1" operator="equal">
      <formula>"ERRO"</formula>
    </cfRule>
  </conditionalFormatting>
  <conditionalFormatting sqref="AQ22:AU22">
    <cfRule type="expression" dxfId="8" priority="14" stopIfTrue="1">
      <formula>$AV22&gt;$AG22</formula>
    </cfRule>
  </conditionalFormatting>
  <conditionalFormatting sqref="AQ45:AU45">
    <cfRule type="expression" dxfId="7" priority="12" stopIfTrue="1">
      <formula>$AV45&gt;$AG45</formula>
    </cfRule>
  </conditionalFormatting>
  <conditionalFormatting sqref="AV45:AZ45">
    <cfRule type="cellIs" dxfId="6" priority="11" stopIfTrue="1" operator="equal">
      <formula>"ERRO"</formula>
    </cfRule>
  </conditionalFormatting>
  <conditionalFormatting sqref="AV34:AZ34">
    <cfRule type="cellIs" dxfId="5" priority="7" stopIfTrue="1" operator="equal">
      <formula>"ERRO"</formula>
    </cfRule>
  </conditionalFormatting>
  <conditionalFormatting sqref="AQ34:AU34">
    <cfRule type="expression" dxfId="4" priority="8" stopIfTrue="1">
      <formula>$AV34&gt;$AG34</formula>
    </cfRule>
  </conditionalFormatting>
  <conditionalFormatting sqref="AV58:AZ58">
    <cfRule type="cellIs" dxfId="3" priority="3" stopIfTrue="1" operator="equal">
      <formula>"ERRO"</formula>
    </cfRule>
  </conditionalFormatting>
  <conditionalFormatting sqref="AQ58:AU58">
    <cfRule type="expression" dxfId="2" priority="4" stopIfTrue="1">
      <formula>$AV58&gt;$AG58</formula>
    </cfRule>
  </conditionalFormatting>
  <conditionalFormatting sqref="AV36:AZ36">
    <cfRule type="cellIs" dxfId="1" priority="1" stopIfTrue="1" operator="equal">
      <formula>"ERRO"</formula>
    </cfRule>
  </conditionalFormatting>
  <conditionalFormatting sqref="AQ36:AU36">
    <cfRule type="expression" dxfId="0" priority="2" stopIfTrue="1">
      <formula>$AV36&gt;$AG36</formula>
    </cfRule>
  </conditionalFormatting>
  <printOptions horizontalCentered="1"/>
  <pageMargins left="0.25" right="0.25" top="0.75" bottom="0.75" header="0.3" footer="0.3"/>
  <pageSetup paperSize="9" fitToHeight="0" orientation="landscape" r:id="rId1"/>
  <headerFooter>
    <oddHeader xml:space="preserve">&amp;R
</oddHead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zoomScale="130" zoomScaleNormal="130" workbookViewId="0">
      <selection activeCell="A9" sqref="A9:R9"/>
    </sheetView>
  </sheetViews>
  <sheetFormatPr defaultRowHeight="12.75" x14ac:dyDescent="0.2"/>
  <cols>
    <col min="1" max="1" width="9.140625" customWidth="1"/>
    <col min="2" max="2" width="3.28515625" customWidth="1"/>
    <col min="3" max="3" width="29.85546875" customWidth="1"/>
    <col min="4" max="5" width="9.140625" customWidth="1"/>
    <col min="9" max="10" width="9.140625" customWidth="1"/>
    <col min="11" max="16" width="0" hidden="1" customWidth="1"/>
    <col min="17" max="17" width="12" customWidth="1"/>
    <col min="18" max="18" width="9.140625" customWidth="1"/>
    <col min="20" max="20" width="10.140625" bestFit="1" customWidth="1"/>
  </cols>
  <sheetData>
    <row r="1" spans="1:18" x14ac:dyDescent="0.2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  <c r="R1" s="127"/>
    </row>
    <row r="2" spans="1:18" ht="18.75" x14ac:dyDescent="0.3">
      <c r="A2" s="128"/>
      <c r="B2" s="48"/>
      <c r="C2" s="48"/>
      <c r="D2" s="48"/>
      <c r="E2" s="48"/>
      <c r="F2" s="48"/>
      <c r="G2" s="48"/>
      <c r="H2" s="29"/>
      <c r="I2" s="29"/>
      <c r="J2" s="29"/>
      <c r="K2" s="29"/>
      <c r="L2" s="29"/>
      <c r="M2" s="29"/>
      <c r="N2" s="29"/>
      <c r="O2" s="29"/>
      <c r="P2" s="29"/>
      <c r="Q2" s="129"/>
      <c r="R2" s="130"/>
    </row>
    <row r="3" spans="1:18" ht="20.25" x14ac:dyDescent="0.2">
      <c r="A3" s="128"/>
      <c r="B3" s="268" t="s">
        <v>40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129"/>
      <c r="R3" s="130"/>
    </row>
    <row r="4" spans="1:18" x14ac:dyDescent="0.2">
      <c r="A4" s="12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29"/>
      <c r="R4" s="130"/>
    </row>
    <row r="5" spans="1:18" x14ac:dyDescent="0.2">
      <c r="A5" s="269" t="s">
        <v>41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129"/>
      <c r="R5" s="130"/>
    </row>
    <row r="6" spans="1:18" x14ac:dyDescent="0.2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129"/>
      <c r="R6" s="130"/>
    </row>
    <row r="7" spans="1:18" x14ac:dyDescent="0.2">
      <c r="A7" s="12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129"/>
      <c r="R7" s="130"/>
    </row>
    <row r="8" spans="1:18" ht="13.5" thickBot="1" x14ac:dyDescent="0.25">
      <c r="A8" s="12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29"/>
      <c r="R8" s="130"/>
    </row>
    <row r="9" spans="1:18" ht="18.75" thickBot="1" x14ac:dyDescent="0.25">
      <c r="A9" s="271" t="s">
        <v>149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3"/>
    </row>
    <row r="10" spans="1:18" x14ac:dyDescent="0.2">
      <c r="A10" s="274" t="s">
        <v>43</v>
      </c>
      <c r="B10" s="275"/>
      <c r="C10" s="276" t="s">
        <v>44</v>
      </c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30" t="s">
        <v>45</v>
      </c>
      <c r="R10" s="131"/>
    </row>
    <row r="11" spans="1:18" x14ac:dyDescent="0.2">
      <c r="A11" s="279" t="s">
        <v>46</v>
      </c>
      <c r="B11" s="280"/>
      <c r="C11" s="281" t="str">
        <f>Plan.Orç!C8</f>
        <v>LOCAL: R.Wilson Barbosa Braga , Vista da Colina - Aguaí-SP</v>
      </c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8"/>
      <c r="R11" s="289"/>
    </row>
    <row r="12" spans="1:18" x14ac:dyDescent="0.2">
      <c r="A12" s="290" t="s">
        <v>47</v>
      </c>
      <c r="B12" s="291"/>
      <c r="C12" s="292" t="str">
        <f>Plan.Orç!C7</f>
        <v>OBJETO: EXECUÇÃO DE MURO, PAVIMENTAÇÃO E REPAROS GERAIS NA CRECHE LAURA SORENSE MARTUCCI</v>
      </c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88"/>
      <c r="R12" s="289"/>
    </row>
    <row r="13" spans="1:18" ht="13.5" thickBot="1" x14ac:dyDescent="0.25">
      <c r="A13" s="293" t="s">
        <v>48</v>
      </c>
      <c r="B13" s="294"/>
      <c r="C13" s="281" t="s">
        <v>145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95" t="s">
        <v>147</v>
      </c>
      <c r="R13" s="296"/>
    </row>
    <row r="14" spans="1:18" ht="13.5" thickBot="1" x14ac:dyDescent="0.25">
      <c r="A14" s="282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4"/>
    </row>
    <row r="15" spans="1:18" ht="13.5" thickBot="1" x14ac:dyDescent="0.25">
      <c r="A15" s="285" t="s">
        <v>49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7"/>
    </row>
    <row r="16" spans="1:18" ht="13.5" thickBot="1" x14ac:dyDescent="0.25">
      <c r="A16" s="261" t="s">
        <v>42</v>
      </c>
      <c r="B16" s="262" t="s">
        <v>50</v>
      </c>
      <c r="C16" s="262"/>
      <c r="D16" s="262"/>
      <c r="E16" s="263" t="s">
        <v>49</v>
      </c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4"/>
    </row>
    <row r="17" spans="1:18" ht="13.5" thickBot="1" x14ac:dyDescent="0.25">
      <c r="A17" s="261"/>
      <c r="B17" s="265" t="s">
        <v>51</v>
      </c>
      <c r="C17" s="265"/>
      <c r="D17" s="265"/>
      <c r="E17" s="266" t="s">
        <v>52</v>
      </c>
      <c r="F17" s="266"/>
      <c r="G17" s="266" t="s">
        <v>53</v>
      </c>
      <c r="H17" s="266"/>
      <c r="I17" s="266" t="s">
        <v>54</v>
      </c>
      <c r="J17" s="266"/>
      <c r="K17" s="266" t="s">
        <v>55</v>
      </c>
      <c r="L17" s="266"/>
      <c r="M17" s="266" t="s">
        <v>56</v>
      </c>
      <c r="N17" s="266"/>
      <c r="O17" s="266" t="s">
        <v>57</v>
      </c>
      <c r="P17" s="266"/>
      <c r="Q17" s="31" t="s">
        <v>58</v>
      </c>
      <c r="R17" s="132" t="s">
        <v>59</v>
      </c>
    </row>
    <row r="18" spans="1:18" x14ac:dyDescent="0.2">
      <c r="A18" s="261"/>
      <c r="B18" s="267" t="s">
        <v>3</v>
      </c>
      <c r="C18" s="267"/>
      <c r="D18" s="267"/>
      <c r="E18" s="32" t="s">
        <v>60</v>
      </c>
      <c r="F18" s="32" t="s">
        <v>61</v>
      </c>
      <c r="G18" s="32" t="s">
        <v>60</v>
      </c>
      <c r="H18" s="32" t="s">
        <v>61</v>
      </c>
      <c r="I18" s="32" t="s">
        <v>60</v>
      </c>
      <c r="J18" s="32" t="s">
        <v>61</v>
      </c>
      <c r="K18" s="32" t="s">
        <v>60</v>
      </c>
      <c r="L18" s="32" t="s">
        <v>61</v>
      </c>
      <c r="M18" s="32" t="s">
        <v>60</v>
      </c>
      <c r="N18" s="32" t="s">
        <v>61</v>
      </c>
      <c r="O18" s="32" t="s">
        <v>60</v>
      </c>
      <c r="P18" s="32" t="s">
        <v>61</v>
      </c>
      <c r="Q18" s="33" t="s">
        <v>62</v>
      </c>
      <c r="R18" s="133" t="s">
        <v>63</v>
      </c>
    </row>
    <row r="19" spans="1:18" x14ac:dyDescent="0.2">
      <c r="A19" s="245">
        <v>1</v>
      </c>
      <c r="B19" s="260" t="str">
        <f>Plan.Orç!F18</f>
        <v>APARELHOS SANITÁRIOS</v>
      </c>
      <c r="C19" s="260"/>
      <c r="D19" s="34">
        <f>Plan.Orç!AL18</f>
        <v>3780.57847975</v>
      </c>
      <c r="E19" s="117">
        <v>1</v>
      </c>
      <c r="F19" s="118">
        <f>E19</f>
        <v>1</v>
      </c>
      <c r="G19" s="117"/>
      <c r="H19" s="118"/>
      <c r="I19" s="117"/>
      <c r="J19" s="118"/>
      <c r="K19" s="35"/>
      <c r="L19" s="36"/>
      <c r="M19" s="35"/>
      <c r="N19" s="36"/>
      <c r="O19" s="35"/>
      <c r="P19" s="36"/>
      <c r="Q19" s="248">
        <f>D19</f>
        <v>3780.57847975</v>
      </c>
      <c r="R19" s="249">
        <f>Q19*100/$Q$39</f>
        <v>2.4981539559223465</v>
      </c>
    </row>
    <row r="20" spans="1:18" x14ac:dyDescent="0.2">
      <c r="A20" s="246"/>
      <c r="B20" s="260"/>
      <c r="C20" s="260"/>
      <c r="D20" s="120">
        <f>D19/$T$39</f>
        <v>2.4981539559223467E-2</v>
      </c>
      <c r="E20" s="117"/>
      <c r="F20" s="119"/>
      <c r="G20" s="117"/>
      <c r="H20" s="119"/>
      <c r="I20" s="117"/>
      <c r="J20" s="119"/>
      <c r="K20" s="35"/>
      <c r="L20" s="38"/>
      <c r="M20" s="35"/>
      <c r="N20" s="38"/>
      <c r="O20" s="35"/>
      <c r="P20" s="38"/>
      <c r="Q20" s="248"/>
      <c r="R20" s="250"/>
    </row>
    <row r="21" spans="1:18" x14ac:dyDescent="0.2">
      <c r="A21" s="245">
        <v>2</v>
      </c>
      <c r="B21" s="260" t="str">
        <f>Plan.Orç!F27</f>
        <v>ESQUADRIAS</v>
      </c>
      <c r="C21" s="260"/>
      <c r="D21" s="34">
        <f>Plan.Orç!AL27</f>
        <v>626.69246169999985</v>
      </c>
      <c r="E21" s="117">
        <v>1</v>
      </c>
      <c r="F21" s="118">
        <f>E21</f>
        <v>1</v>
      </c>
      <c r="G21" s="117"/>
      <c r="H21" s="118"/>
      <c r="I21" s="117"/>
      <c r="J21" s="118"/>
      <c r="K21" s="35"/>
      <c r="L21" s="36"/>
      <c r="M21" s="35"/>
      <c r="N21" s="36"/>
      <c r="O21" s="35"/>
      <c r="P21" s="36"/>
      <c r="Q21" s="248">
        <f>D21</f>
        <v>626.69246169999985</v>
      </c>
      <c r="R21" s="249">
        <f>Q21*100/$Q$39</f>
        <v>0.41410970853489482</v>
      </c>
    </row>
    <row r="22" spans="1:18" x14ac:dyDescent="0.2">
      <c r="A22" s="246"/>
      <c r="B22" s="260"/>
      <c r="C22" s="260"/>
      <c r="D22" s="120">
        <f>D21/$T$39</f>
        <v>4.1410970853489482E-3</v>
      </c>
      <c r="E22" s="117"/>
      <c r="F22" s="119"/>
      <c r="G22" s="117"/>
      <c r="H22" s="119"/>
      <c r="I22" s="117"/>
      <c r="J22" s="119"/>
      <c r="K22" s="35"/>
      <c r="L22" s="38"/>
      <c r="M22" s="35"/>
      <c r="N22" s="38"/>
      <c r="O22" s="35"/>
      <c r="P22" s="38"/>
      <c r="Q22" s="248"/>
      <c r="R22" s="250"/>
    </row>
    <row r="23" spans="1:18" x14ac:dyDescent="0.2">
      <c r="A23" s="245">
        <v>3</v>
      </c>
      <c r="B23" s="260" t="str">
        <f>Plan.Orç!F32</f>
        <v>PINTURA INTERNA E EXTERNA</v>
      </c>
      <c r="C23" s="260"/>
      <c r="D23" s="34">
        <f>Plan.Orç!AL32</f>
        <v>6859.8337291999987</v>
      </c>
      <c r="E23" s="117"/>
      <c r="F23" s="118"/>
      <c r="G23" s="117">
        <v>0.5</v>
      </c>
      <c r="H23" s="118">
        <f>G23</f>
        <v>0.5</v>
      </c>
      <c r="I23" s="117">
        <v>0.5</v>
      </c>
      <c r="J23" s="118">
        <f>H23+I23</f>
        <v>1</v>
      </c>
      <c r="K23" s="35"/>
      <c r="L23" s="36"/>
      <c r="M23" s="35"/>
      <c r="N23" s="36"/>
      <c r="O23" s="35"/>
      <c r="P23" s="36"/>
      <c r="Q23" s="248">
        <f>D23</f>
        <v>6859.8337291999987</v>
      </c>
      <c r="R23" s="249">
        <f>Q23*100/$Q$39</f>
        <v>4.5328832239196739</v>
      </c>
    </row>
    <row r="24" spans="1:18" x14ac:dyDescent="0.2">
      <c r="A24" s="246"/>
      <c r="B24" s="260"/>
      <c r="C24" s="260"/>
      <c r="D24" s="120">
        <f>D23/$T$39</f>
        <v>4.5328832239196738E-2</v>
      </c>
      <c r="E24" s="117"/>
      <c r="F24" s="119"/>
      <c r="G24" s="117"/>
      <c r="H24" s="119"/>
      <c r="I24" s="117"/>
      <c r="J24" s="119"/>
      <c r="K24" s="35"/>
      <c r="L24" s="38"/>
      <c r="M24" s="35"/>
      <c r="N24" s="38"/>
      <c r="O24" s="35"/>
      <c r="P24" s="38"/>
      <c r="Q24" s="248"/>
      <c r="R24" s="250"/>
    </row>
    <row r="25" spans="1:18" x14ac:dyDescent="0.2">
      <c r="A25" s="245">
        <v>4</v>
      </c>
      <c r="B25" s="260" t="str">
        <f>Plan.Orç!F38</f>
        <v>INSTALAÇÕES ELÉTRICAS</v>
      </c>
      <c r="C25" s="260"/>
      <c r="D25" s="34">
        <f>Plan.Orç!AL38</f>
        <v>52.331430999999995</v>
      </c>
      <c r="E25" s="117"/>
      <c r="F25" s="118"/>
      <c r="G25" s="117"/>
      <c r="H25" s="118"/>
      <c r="I25" s="117"/>
      <c r="J25" s="118"/>
      <c r="K25" s="35"/>
      <c r="L25" s="36"/>
      <c r="M25" s="35"/>
      <c r="N25" s="36"/>
      <c r="O25" s="35"/>
      <c r="P25" s="36"/>
      <c r="Q25" s="248">
        <f>D25</f>
        <v>52.331430999999995</v>
      </c>
      <c r="R25" s="249">
        <f>Q25*100/$Q$39</f>
        <v>3.457988561062017E-2</v>
      </c>
    </row>
    <row r="26" spans="1:18" x14ac:dyDescent="0.2">
      <c r="A26" s="246"/>
      <c r="B26" s="260"/>
      <c r="C26" s="260"/>
      <c r="D26" s="120">
        <f>D25/$T$39</f>
        <v>3.4579885610620174E-4</v>
      </c>
      <c r="E26" s="117"/>
      <c r="F26" s="119"/>
      <c r="G26" s="117"/>
      <c r="H26" s="119"/>
      <c r="I26" s="117"/>
      <c r="J26" s="119"/>
      <c r="K26" s="35"/>
      <c r="L26" s="38"/>
      <c r="M26" s="35"/>
      <c r="N26" s="38"/>
      <c r="O26" s="35"/>
      <c r="P26" s="38"/>
      <c r="Q26" s="248"/>
      <c r="R26" s="250"/>
    </row>
    <row r="27" spans="1:18" x14ac:dyDescent="0.2">
      <c r="A27" s="245">
        <v>5</v>
      </c>
      <c r="B27" s="260" t="str">
        <f>Plan.Orç!F41</f>
        <v>MURO DE DIVISA</v>
      </c>
      <c r="C27" s="260"/>
      <c r="D27" s="34">
        <f>Plan.Orç!AL41</f>
        <v>80566.071302423996</v>
      </c>
      <c r="E27" s="117">
        <v>0.3</v>
      </c>
      <c r="F27" s="118">
        <f>E27</f>
        <v>0.3</v>
      </c>
      <c r="G27" s="117">
        <v>0.4</v>
      </c>
      <c r="H27" s="118">
        <f>F27+G27</f>
        <v>0.7</v>
      </c>
      <c r="I27" s="117">
        <v>0.3</v>
      </c>
      <c r="J27" s="118">
        <f>H27+I27</f>
        <v>1</v>
      </c>
      <c r="K27" s="35"/>
      <c r="L27" s="36"/>
      <c r="M27" s="35"/>
      <c r="N27" s="36"/>
      <c r="O27" s="35"/>
      <c r="P27" s="36"/>
      <c r="Q27" s="248">
        <f>D27</f>
        <v>80566.071302423996</v>
      </c>
      <c r="R27" s="249">
        <f>Q27*100/$Q$39</f>
        <v>53.236945302238929</v>
      </c>
    </row>
    <row r="28" spans="1:18" x14ac:dyDescent="0.2">
      <c r="A28" s="246"/>
      <c r="B28" s="260"/>
      <c r="C28" s="260"/>
      <c r="D28" s="120">
        <f>D27/$T$39</f>
        <v>0.53236945302238925</v>
      </c>
      <c r="E28" s="117"/>
      <c r="F28" s="119"/>
      <c r="G28" s="117"/>
      <c r="H28" s="119"/>
      <c r="I28" s="117"/>
      <c r="J28" s="119"/>
      <c r="K28" s="35"/>
      <c r="L28" s="38"/>
      <c r="M28" s="35"/>
      <c r="N28" s="38"/>
      <c r="O28" s="35"/>
      <c r="P28" s="38"/>
      <c r="Q28" s="248"/>
      <c r="R28" s="250"/>
    </row>
    <row r="29" spans="1:18" x14ac:dyDescent="0.2">
      <c r="A29" s="245">
        <v>6</v>
      </c>
      <c r="B29" s="260" t="str">
        <f>Plan.Orç!F50</f>
        <v>PAVIMENTAÇÃO E JARDINAGEM</v>
      </c>
      <c r="C29" s="260"/>
      <c r="D29" s="34">
        <f>Plan.Orç!AL50</f>
        <v>59449.380135079598</v>
      </c>
      <c r="E29" s="117">
        <v>0.3</v>
      </c>
      <c r="F29" s="118">
        <f>E29</f>
        <v>0.3</v>
      </c>
      <c r="G29" s="117">
        <v>0.4</v>
      </c>
      <c r="H29" s="118">
        <f>F29+G29</f>
        <v>0.7</v>
      </c>
      <c r="I29" s="117">
        <v>0.3</v>
      </c>
      <c r="J29" s="118">
        <f>H29+I29</f>
        <v>1</v>
      </c>
      <c r="K29" s="35"/>
      <c r="L29" s="36"/>
      <c r="M29" s="35"/>
      <c r="N29" s="36"/>
      <c r="O29" s="35"/>
      <c r="P29" s="36"/>
      <c r="Q29" s="248">
        <f>D29</f>
        <v>59449.380135079598</v>
      </c>
      <c r="R29" s="249">
        <f>Q29*100/$Q$39</f>
        <v>39.283327923773527</v>
      </c>
    </row>
    <row r="30" spans="1:18" x14ac:dyDescent="0.2">
      <c r="A30" s="246"/>
      <c r="B30" s="260"/>
      <c r="C30" s="260"/>
      <c r="D30" s="120">
        <f>D29/T39</f>
        <v>0.39283327923773531</v>
      </c>
      <c r="E30" s="117"/>
      <c r="F30" s="119"/>
      <c r="G30" s="117"/>
      <c r="H30" s="119"/>
      <c r="I30" s="117"/>
      <c r="J30" s="119"/>
      <c r="K30" s="35"/>
      <c r="L30" s="38"/>
      <c r="M30" s="35"/>
      <c r="N30" s="38"/>
      <c r="O30" s="35"/>
      <c r="P30" s="38"/>
      <c r="Q30" s="248"/>
      <c r="R30" s="250"/>
    </row>
    <row r="31" spans="1:18" hidden="1" x14ac:dyDescent="0.2">
      <c r="A31" s="245"/>
      <c r="B31" s="260"/>
      <c r="C31" s="260"/>
      <c r="D31" s="34"/>
      <c r="E31" s="35"/>
      <c r="F31" s="36"/>
      <c r="G31" s="35"/>
      <c r="H31" s="36"/>
      <c r="I31" s="35"/>
      <c r="J31" s="36"/>
      <c r="K31" s="35"/>
      <c r="L31" s="36"/>
      <c r="M31" s="35"/>
      <c r="N31" s="36"/>
      <c r="O31" s="35"/>
      <c r="P31" s="36"/>
      <c r="Q31" s="248"/>
      <c r="R31" s="249">
        <f>Q31*100/$Q$39</f>
        <v>0</v>
      </c>
    </row>
    <row r="32" spans="1:18" hidden="1" x14ac:dyDescent="0.2">
      <c r="A32" s="246"/>
      <c r="B32" s="260"/>
      <c r="C32" s="260"/>
      <c r="D32" s="37"/>
      <c r="E32" s="35"/>
      <c r="F32" s="38"/>
      <c r="G32" s="35"/>
      <c r="H32" s="38"/>
      <c r="I32" s="35"/>
      <c r="J32" s="38"/>
      <c r="K32" s="35"/>
      <c r="L32" s="38"/>
      <c r="M32" s="35"/>
      <c r="N32" s="38"/>
      <c r="O32" s="35"/>
      <c r="P32" s="38"/>
      <c r="Q32" s="248"/>
      <c r="R32" s="250"/>
    </row>
    <row r="33" spans="1:20" hidden="1" x14ac:dyDescent="0.2">
      <c r="A33" s="245"/>
      <c r="B33" s="260"/>
      <c r="C33" s="260"/>
      <c r="D33" s="34"/>
      <c r="E33" s="35"/>
      <c r="F33" s="36"/>
      <c r="G33" s="35"/>
      <c r="H33" s="36"/>
      <c r="I33" s="35"/>
      <c r="J33" s="36"/>
      <c r="K33" s="35"/>
      <c r="L33" s="36"/>
      <c r="M33" s="35"/>
      <c r="N33" s="36"/>
      <c r="O33" s="35"/>
      <c r="P33" s="36"/>
      <c r="Q33" s="248"/>
      <c r="R33" s="249">
        <f>Q33*100/$Q$39</f>
        <v>0</v>
      </c>
    </row>
    <row r="34" spans="1:20" hidden="1" x14ac:dyDescent="0.2">
      <c r="A34" s="246"/>
      <c r="B34" s="260"/>
      <c r="C34" s="260"/>
      <c r="D34" s="37"/>
      <c r="E34" s="35"/>
      <c r="F34" s="38"/>
      <c r="G34" s="35"/>
      <c r="H34" s="38"/>
      <c r="I34" s="35"/>
      <c r="J34" s="38"/>
      <c r="K34" s="35"/>
      <c r="L34" s="38"/>
      <c r="M34" s="35"/>
      <c r="N34" s="38"/>
      <c r="O34" s="35"/>
      <c r="P34" s="38"/>
      <c r="Q34" s="248"/>
      <c r="R34" s="250"/>
    </row>
    <row r="35" spans="1:20" hidden="1" x14ac:dyDescent="0.2">
      <c r="A35" s="245"/>
      <c r="B35" s="260"/>
      <c r="C35" s="260"/>
      <c r="D35" s="34"/>
      <c r="E35" s="35"/>
      <c r="F35" s="36"/>
      <c r="G35" s="35"/>
      <c r="H35" s="36"/>
      <c r="I35" s="35"/>
      <c r="J35" s="36"/>
      <c r="K35" s="35"/>
      <c r="L35" s="36"/>
      <c r="M35" s="35"/>
      <c r="N35" s="36"/>
      <c r="O35" s="35"/>
      <c r="P35" s="36"/>
      <c r="Q35" s="248"/>
      <c r="R35" s="249">
        <f>Q35*100/$Q$39</f>
        <v>0</v>
      </c>
    </row>
    <row r="36" spans="1:20" hidden="1" x14ac:dyDescent="0.2">
      <c r="A36" s="246"/>
      <c r="B36" s="260"/>
      <c r="C36" s="260"/>
      <c r="D36" s="37"/>
      <c r="E36" s="35"/>
      <c r="F36" s="38"/>
      <c r="G36" s="35"/>
      <c r="H36" s="38"/>
      <c r="I36" s="35"/>
      <c r="J36" s="38"/>
      <c r="K36" s="35"/>
      <c r="L36" s="38"/>
      <c r="M36" s="35"/>
      <c r="N36" s="38"/>
      <c r="O36" s="35"/>
      <c r="P36" s="38"/>
      <c r="Q36" s="248"/>
      <c r="R36" s="250"/>
    </row>
    <row r="37" spans="1:20" x14ac:dyDescent="0.2">
      <c r="A37" s="245"/>
      <c r="B37" s="247"/>
      <c r="C37" s="247"/>
      <c r="D37" s="34"/>
      <c r="E37" s="35"/>
      <c r="F37" s="36"/>
      <c r="G37" s="35"/>
      <c r="H37" s="36"/>
      <c r="I37" s="35"/>
      <c r="J37" s="36"/>
      <c r="K37" s="35"/>
      <c r="L37" s="36"/>
      <c r="M37" s="35"/>
      <c r="N37" s="36"/>
      <c r="O37" s="35"/>
      <c r="P37" s="36"/>
      <c r="Q37" s="248"/>
      <c r="R37" s="249"/>
    </row>
    <row r="38" spans="1:20" x14ac:dyDescent="0.2">
      <c r="A38" s="246"/>
      <c r="B38" s="247"/>
      <c r="C38" s="247"/>
      <c r="D38" s="37"/>
      <c r="E38" s="35"/>
      <c r="F38" s="38"/>
      <c r="G38" s="35"/>
      <c r="H38" s="38"/>
      <c r="I38" s="35"/>
      <c r="J38" s="38"/>
      <c r="K38" s="35"/>
      <c r="L38" s="38"/>
      <c r="M38" s="35"/>
      <c r="N38" s="38"/>
      <c r="O38" s="35"/>
      <c r="P38" s="38"/>
      <c r="Q38" s="248"/>
      <c r="R38" s="250"/>
    </row>
    <row r="39" spans="1:20" x14ac:dyDescent="0.2">
      <c r="A39" s="277" t="s">
        <v>64</v>
      </c>
      <c r="B39" s="278"/>
      <c r="C39" s="278"/>
      <c r="D39" s="39"/>
      <c r="E39" s="121">
        <f>$D$20*E19+$D$22*E21+$D$24*E23+$D$26*E25+$D$28*E27+$D$30*E29</f>
        <v>0.30668345632260974</v>
      </c>
      <c r="F39" s="123">
        <f>E39</f>
        <v>0.30668345632260974</v>
      </c>
      <c r="G39" s="121">
        <f>$D$20*G19+$D$22*G21+$D$24*G23+$D$26*G25+$D$28*G27+$D$30*G29</f>
        <v>0.39274550902364824</v>
      </c>
      <c r="H39" s="123">
        <f>F39+G39</f>
        <v>0.69942896534625798</v>
      </c>
      <c r="I39" s="121">
        <f>$D$20*I19+$D$22*I21+$D$24*I23+$D$26*I25+$D$28*I27+$D$30*I29</f>
        <v>0.30022523579763571</v>
      </c>
      <c r="J39" s="122">
        <f>H39+I39</f>
        <v>0.99965420114389369</v>
      </c>
      <c r="K39" s="40">
        <f>SUMIFS(K19:K38,$D$19:$D$38,$D$38)</f>
        <v>0</v>
      </c>
      <c r="L39" s="41">
        <f>K39*100/$Q39</f>
        <v>0</v>
      </c>
      <c r="M39" s="40">
        <f>SUMIFS(M19:M38,$D$19:$D$38,$D$38)</f>
        <v>0</v>
      </c>
      <c r="N39" s="41">
        <f>M39*100/$Q39</f>
        <v>0</v>
      </c>
      <c r="O39" s="40">
        <f>SUMIFS(O19:O38,$D$19:$D$38,$D$38)</f>
        <v>0</v>
      </c>
      <c r="P39" s="41">
        <f>O39*100/$Q39</f>
        <v>0</v>
      </c>
      <c r="Q39" s="42">
        <f>SUM(Q19:Q38)</f>
        <v>151334.8875391536</v>
      </c>
      <c r="R39" s="134">
        <f>SUM(R19:R38)</f>
        <v>100</v>
      </c>
      <c r="T39" s="116">
        <f>D19+D21+D23+D25+D27+D29</f>
        <v>151334.8875391536</v>
      </c>
    </row>
    <row r="40" spans="1:20" ht="15.75" thickBot="1" x14ac:dyDescent="0.25">
      <c r="A40" s="277" t="s">
        <v>65</v>
      </c>
      <c r="B40" s="278"/>
      <c r="C40" s="278"/>
      <c r="D40" s="43"/>
      <c r="E40" s="258">
        <f>E39*$T$39</f>
        <v>46411.906372701073</v>
      </c>
      <c r="F40" s="258"/>
      <c r="G40" s="258">
        <f>G39*$T$39</f>
        <v>59436.097439601443</v>
      </c>
      <c r="H40" s="258"/>
      <c r="I40" s="258">
        <f>I39*$T$39</f>
        <v>45434.55229585107</v>
      </c>
      <c r="J40" s="258"/>
      <c r="K40" s="259">
        <f>K39</f>
        <v>0</v>
      </c>
      <c r="L40" s="259"/>
      <c r="M40" s="259">
        <f>M39</f>
        <v>0</v>
      </c>
      <c r="N40" s="259"/>
      <c r="O40" s="259">
        <f>O39</f>
        <v>0</v>
      </c>
      <c r="P40" s="259"/>
      <c r="Q40" s="44" t="s">
        <v>63</v>
      </c>
      <c r="R40" s="251"/>
    </row>
    <row r="41" spans="1:20" ht="13.5" thickBot="1" x14ac:dyDescent="0.25">
      <c r="A41" s="253" t="s">
        <v>66</v>
      </c>
      <c r="B41" s="254"/>
      <c r="C41" s="254"/>
      <c r="D41" s="135"/>
      <c r="E41" s="255">
        <f>F39</f>
        <v>0.30668345632260974</v>
      </c>
      <c r="F41" s="255"/>
      <c r="G41" s="255">
        <f>H39</f>
        <v>0.69942896534625798</v>
      </c>
      <c r="H41" s="255"/>
      <c r="I41" s="256">
        <f>J39</f>
        <v>0.99965420114389369</v>
      </c>
      <c r="J41" s="256"/>
      <c r="K41" s="257">
        <f>K40+I41</f>
        <v>0.99965420114389369</v>
      </c>
      <c r="L41" s="257"/>
      <c r="M41" s="257">
        <f>M40+K41</f>
        <v>0.99965420114389369</v>
      </c>
      <c r="N41" s="257"/>
      <c r="O41" s="257">
        <f>O40+M41</f>
        <v>0.99965420114389369</v>
      </c>
      <c r="P41" s="257"/>
      <c r="Q41" s="136">
        <f>Q39/Q39</f>
        <v>1</v>
      </c>
      <c r="R41" s="252"/>
    </row>
    <row r="42" spans="1:20" ht="33.75" customHeight="1" x14ac:dyDescent="0.2"/>
    <row r="43" spans="1:20" x14ac:dyDescent="0.2">
      <c r="J43" s="137" t="str">
        <f>Plan.Orç!AB71</f>
        <v>Janaina Albuquerque Alves</v>
      </c>
    </row>
    <row r="44" spans="1:20" x14ac:dyDescent="0.2">
      <c r="J44" s="138" t="str">
        <f>Plan.Orç!AB72</f>
        <v>Engenheira Civil CREA 5069702073</v>
      </c>
    </row>
  </sheetData>
  <mergeCells count="82">
    <mergeCell ref="A39:C39"/>
    <mergeCell ref="A40:C40"/>
    <mergeCell ref="E40:F40"/>
    <mergeCell ref="G40:H40"/>
    <mergeCell ref="A11:B11"/>
    <mergeCell ref="C11:P11"/>
    <mergeCell ref="A14:R14"/>
    <mergeCell ref="A15:R15"/>
    <mergeCell ref="Q11:R12"/>
    <mergeCell ref="A12:B12"/>
    <mergeCell ref="C12:P12"/>
    <mergeCell ref="A13:B13"/>
    <mergeCell ref="C13:P13"/>
    <mergeCell ref="Q13:R13"/>
    <mergeCell ref="A21:A22"/>
    <mergeCell ref="B21:C22"/>
    <mergeCell ref="B3:P3"/>
    <mergeCell ref="A5:P6"/>
    <mergeCell ref="A9:R9"/>
    <mergeCell ref="A10:B10"/>
    <mergeCell ref="C10:P10"/>
    <mergeCell ref="A16:A18"/>
    <mergeCell ref="B16:D16"/>
    <mergeCell ref="E16:R16"/>
    <mergeCell ref="B17:D17"/>
    <mergeCell ref="E17:F17"/>
    <mergeCell ref="G17:H17"/>
    <mergeCell ref="I17:J17"/>
    <mergeCell ref="K17:L17"/>
    <mergeCell ref="M17:N17"/>
    <mergeCell ref="O17:P17"/>
    <mergeCell ref="B18:D18"/>
    <mergeCell ref="R19:R20"/>
    <mergeCell ref="A23:A24"/>
    <mergeCell ref="B23:C24"/>
    <mergeCell ref="Q23:Q24"/>
    <mergeCell ref="R23:R24"/>
    <mergeCell ref="Q21:Q22"/>
    <mergeCell ref="R21:R22"/>
    <mergeCell ref="A19:A20"/>
    <mergeCell ref="B19:C20"/>
    <mergeCell ref="Q19:Q20"/>
    <mergeCell ref="A25:A26"/>
    <mergeCell ref="B25:C26"/>
    <mergeCell ref="Q25:Q26"/>
    <mergeCell ref="R25:R26"/>
    <mergeCell ref="A27:A28"/>
    <mergeCell ref="B27:C28"/>
    <mergeCell ref="Q27:Q28"/>
    <mergeCell ref="R27:R28"/>
    <mergeCell ref="A29:A30"/>
    <mergeCell ref="B29:C30"/>
    <mergeCell ref="Q29:Q30"/>
    <mergeCell ref="R29:R30"/>
    <mergeCell ref="A31:A32"/>
    <mergeCell ref="B31:C32"/>
    <mergeCell ref="Q31:Q32"/>
    <mergeCell ref="R31:R32"/>
    <mergeCell ref="A33:A34"/>
    <mergeCell ref="B33:C34"/>
    <mergeCell ref="Q33:Q34"/>
    <mergeCell ref="R33:R34"/>
    <mergeCell ref="A35:A36"/>
    <mergeCell ref="B35:C36"/>
    <mergeCell ref="Q35:Q36"/>
    <mergeCell ref="R35:R36"/>
    <mergeCell ref="A37:A38"/>
    <mergeCell ref="B37:C38"/>
    <mergeCell ref="Q37:Q38"/>
    <mergeCell ref="R37:R38"/>
    <mergeCell ref="R40:R41"/>
    <mergeCell ref="A41:C41"/>
    <mergeCell ref="E41:F41"/>
    <mergeCell ref="G41:H41"/>
    <mergeCell ref="I41:J41"/>
    <mergeCell ref="K41:L41"/>
    <mergeCell ref="M41:N41"/>
    <mergeCell ref="O41:P41"/>
    <mergeCell ref="I40:J40"/>
    <mergeCell ref="K40:L40"/>
    <mergeCell ref="M40:N40"/>
    <mergeCell ref="O40:P40"/>
  </mergeCells>
  <pageMargins left="0.25" right="0.25" top="0.75" bottom="0.75" header="0.3" footer="0.3"/>
  <pageSetup paperSize="9" scale="94" orientation="landscape" r:id="rId1"/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30" workbookViewId="0">
      <selection activeCell="D29" sqref="D29"/>
    </sheetView>
  </sheetViews>
  <sheetFormatPr defaultRowHeight="12.75" x14ac:dyDescent="0.2"/>
  <cols>
    <col min="1" max="1" width="62.140625" bestFit="1" customWidth="1"/>
    <col min="4" max="4" width="11" bestFit="1" customWidth="1"/>
  </cols>
  <sheetData>
    <row r="1" spans="1:4" ht="15" x14ac:dyDescent="0.25">
      <c r="A1" s="46" t="s">
        <v>84</v>
      </c>
      <c r="B1" s="47"/>
      <c r="C1" s="47"/>
      <c r="D1" s="47"/>
    </row>
    <row r="2" spans="1:4" ht="15" x14ac:dyDescent="0.25">
      <c r="A2" s="46"/>
      <c r="B2" s="47" t="s">
        <v>85</v>
      </c>
      <c r="C2" s="47" t="s">
        <v>86</v>
      </c>
      <c r="D2" s="47" t="s">
        <v>87</v>
      </c>
    </row>
    <row r="3" spans="1:4" x14ac:dyDescent="0.2">
      <c r="A3" s="47"/>
      <c r="B3" s="47">
        <v>51.95</v>
      </c>
      <c r="C3" s="47">
        <v>2.1</v>
      </c>
      <c r="D3" s="47">
        <f>B3*C3</f>
        <v>109.09500000000001</v>
      </c>
    </row>
    <row r="4" spans="1:4" x14ac:dyDescent="0.2">
      <c r="A4" s="47"/>
      <c r="B4" s="47">
        <v>20</v>
      </c>
      <c r="C4" s="47">
        <v>2.1</v>
      </c>
      <c r="D4" s="47">
        <f t="shared" ref="D4:D6" si="0">B4*C4</f>
        <v>42</v>
      </c>
    </row>
    <row r="5" spans="1:4" x14ac:dyDescent="0.2">
      <c r="A5" s="47"/>
      <c r="B5" s="47">
        <v>10.75</v>
      </c>
      <c r="C5" s="47">
        <v>2.1</v>
      </c>
      <c r="D5" s="47">
        <f t="shared" si="0"/>
        <v>22.574999999999999</v>
      </c>
    </row>
    <row r="6" spans="1:4" x14ac:dyDescent="0.2">
      <c r="A6" s="47"/>
      <c r="B6" s="47">
        <v>15</v>
      </c>
      <c r="C6" s="47">
        <v>2.1</v>
      </c>
      <c r="D6" s="47">
        <f t="shared" si="0"/>
        <v>31.5</v>
      </c>
    </row>
    <row r="7" spans="1:4" x14ac:dyDescent="0.2">
      <c r="A7" s="47"/>
      <c r="B7" s="47"/>
      <c r="C7" s="47"/>
      <c r="D7" s="47"/>
    </row>
    <row r="8" spans="1:4" ht="15" x14ac:dyDescent="0.25">
      <c r="A8" s="47"/>
      <c r="B8" s="47"/>
      <c r="C8" s="47" t="s">
        <v>88</v>
      </c>
      <c r="D8" s="46">
        <f>SUM(D3:D7)</f>
        <v>205.17000000000002</v>
      </c>
    </row>
    <row r="10" spans="1:4" ht="15" x14ac:dyDescent="0.25">
      <c r="A10" s="46" t="s">
        <v>89</v>
      </c>
      <c r="B10" s="47"/>
      <c r="C10" s="47" t="s">
        <v>90</v>
      </c>
    </row>
    <row r="11" spans="1:4" x14ac:dyDescent="0.2">
      <c r="A11" s="47" t="s">
        <v>91</v>
      </c>
      <c r="B11" s="47"/>
      <c r="C11" s="47">
        <f>205.17*2</f>
        <v>410.34</v>
      </c>
    </row>
    <row r="12" spans="1:4" x14ac:dyDescent="0.2">
      <c r="A12" s="47" t="s">
        <v>92</v>
      </c>
      <c r="B12" s="47"/>
      <c r="C12" s="47">
        <f>(50.19+11.07+5.5+64.54+15)*2.18*2</f>
        <v>637.86800000000005</v>
      </c>
    </row>
    <row r="13" spans="1:4" x14ac:dyDescent="0.2">
      <c r="A13" s="47" t="s">
        <v>93</v>
      </c>
      <c r="B13" s="47"/>
      <c r="C13" s="47"/>
    </row>
    <row r="14" spans="1:4" ht="15" x14ac:dyDescent="0.25">
      <c r="A14" s="47"/>
      <c r="B14" s="47" t="s">
        <v>88</v>
      </c>
      <c r="C14" s="46">
        <f>SUM(C11:C12)</f>
        <v>1048.2080000000001</v>
      </c>
    </row>
    <row r="16" spans="1:4" ht="15" x14ac:dyDescent="0.25">
      <c r="A16" s="46" t="s">
        <v>94</v>
      </c>
      <c r="B16" s="47"/>
      <c r="C16" s="47"/>
      <c r="D16" s="46">
        <f>4*2.1</f>
        <v>8.4</v>
      </c>
    </row>
    <row r="18" spans="1:4" ht="15" x14ac:dyDescent="0.25">
      <c r="A18" s="46" t="s">
        <v>95</v>
      </c>
      <c r="B18" s="47"/>
      <c r="C18" s="47"/>
      <c r="D18" s="46">
        <f>8.4*2</f>
        <v>16.8</v>
      </c>
    </row>
    <row r="20" spans="1:4" ht="15" x14ac:dyDescent="0.25">
      <c r="A20" s="46" t="s">
        <v>96</v>
      </c>
      <c r="B20" s="47"/>
      <c r="C20" s="47"/>
      <c r="D20" s="47"/>
    </row>
    <row r="21" spans="1:4" ht="15" x14ac:dyDescent="0.25">
      <c r="A21" s="46"/>
      <c r="B21" s="47" t="s">
        <v>85</v>
      </c>
      <c r="C21" s="47" t="s">
        <v>86</v>
      </c>
      <c r="D21" s="47" t="s">
        <v>97</v>
      </c>
    </row>
    <row r="22" spans="1:4" x14ac:dyDescent="0.2">
      <c r="A22" s="47"/>
      <c r="B22" s="47">
        <v>16.2</v>
      </c>
      <c r="C22" s="47">
        <v>2.1</v>
      </c>
      <c r="D22" s="47">
        <f>B22*C22</f>
        <v>34.020000000000003</v>
      </c>
    </row>
    <row r="23" spans="1:4" x14ac:dyDescent="0.2">
      <c r="A23" s="47"/>
      <c r="B23" s="47">
        <v>14.3</v>
      </c>
      <c r="C23" s="47">
        <v>2.1</v>
      </c>
      <c r="D23" s="47">
        <f t="shared" ref="D23:D24" si="1">B23*C23</f>
        <v>30.03</v>
      </c>
    </row>
    <row r="24" spans="1:4" x14ac:dyDescent="0.2">
      <c r="A24" s="47"/>
      <c r="B24" s="47">
        <v>8</v>
      </c>
      <c r="C24" s="47">
        <v>2.1</v>
      </c>
      <c r="D24" s="47">
        <f t="shared" si="1"/>
        <v>16.8</v>
      </c>
    </row>
    <row r="25" spans="1:4" x14ac:dyDescent="0.2">
      <c r="A25" s="47"/>
      <c r="B25" s="47"/>
      <c r="C25" s="47"/>
      <c r="D25" s="47"/>
    </row>
    <row r="26" spans="1:4" ht="15" x14ac:dyDescent="0.25">
      <c r="A26" s="47"/>
      <c r="B26" s="47"/>
      <c r="C26" s="47" t="s">
        <v>88</v>
      </c>
      <c r="D26" s="46">
        <f>SUM(D22:D25)</f>
        <v>80.850000000000009</v>
      </c>
    </row>
    <row r="28" spans="1:4" ht="15" x14ac:dyDescent="0.25">
      <c r="A28" s="46" t="s">
        <v>98</v>
      </c>
      <c r="B28" s="47"/>
      <c r="C28" s="47"/>
      <c r="D28" s="46">
        <f>1.2*2.1</f>
        <v>2.52</v>
      </c>
    </row>
    <row r="29" spans="1:4" x14ac:dyDescent="0.2">
      <c r="A29" s="47" t="s">
        <v>99</v>
      </c>
      <c r="B29" s="47"/>
      <c r="C29" s="47"/>
      <c r="D29" s="47"/>
    </row>
    <row r="31" spans="1:4" ht="15" x14ac:dyDescent="0.25">
      <c r="A31" s="46" t="s">
        <v>100</v>
      </c>
      <c r="B31" s="47"/>
      <c r="C31" s="47"/>
      <c r="D31" s="46">
        <f>(80.85*2)+(2.52*2)</f>
        <v>166.73999999999998</v>
      </c>
    </row>
    <row r="32" spans="1:4" x14ac:dyDescent="0.2">
      <c r="A32" s="48"/>
      <c r="B32" s="48"/>
      <c r="C32" s="48"/>
      <c r="D32" s="48"/>
    </row>
    <row r="33" spans="1:4" ht="15" x14ac:dyDescent="0.25">
      <c r="A33" s="46" t="s">
        <v>101</v>
      </c>
      <c r="B33" s="47"/>
      <c r="C33" s="47"/>
      <c r="D33" s="46">
        <v>29.63</v>
      </c>
    </row>
    <row r="35" spans="1:4" ht="15" x14ac:dyDescent="0.25">
      <c r="A35" s="46" t="s">
        <v>102</v>
      </c>
      <c r="B35" s="47"/>
      <c r="C35" s="47"/>
      <c r="D35" s="49" t="s">
        <v>103</v>
      </c>
    </row>
    <row r="37" spans="1:4" ht="15" x14ac:dyDescent="0.25">
      <c r="A37" s="46" t="s">
        <v>104</v>
      </c>
      <c r="B37" s="47"/>
      <c r="C37" s="47"/>
      <c r="D37" s="47" t="s">
        <v>90</v>
      </c>
    </row>
    <row r="38" spans="1:4" x14ac:dyDescent="0.2">
      <c r="A38" s="47" t="s">
        <v>105</v>
      </c>
      <c r="B38" s="47"/>
      <c r="C38" s="47"/>
      <c r="D38" s="47">
        <v>182.87</v>
      </c>
    </row>
    <row r="39" spans="1:4" x14ac:dyDescent="0.2">
      <c r="A39" s="47" t="s">
        <v>106</v>
      </c>
      <c r="B39" s="47"/>
      <c r="C39" s="47"/>
      <c r="D39" s="47">
        <v>116.96</v>
      </c>
    </row>
    <row r="40" spans="1:4" x14ac:dyDescent="0.2">
      <c r="A40" s="47" t="s">
        <v>107</v>
      </c>
      <c r="B40" s="47"/>
      <c r="C40" s="47"/>
      <c r="D40" s="47">
        <v>30.75</v>
      </c>
    </row>
    <row r="41" spans="1:4" x14ac:dyDescent="0.2">
      <c r="A41" s="47"/>
      <c r="B41" s="47"/>
      <c r="C41" s="47"/>
      <c r="D41" s="47"/>
    </row>
    <row r="42" spans="1:4" ht="15" x14ac:dyDescent="0.25">
      <c r="A42" s="47"/>
      <c r="B42" s="47"/>
      <c r="C42" s="47" t="s">
        <v>88</v>
      </c>
      <c r="D42" s="46">
        <f>SUM(D38:D40)</f>
        <v>330.58</v>
      </c>
    </row>
    <row r="44" spans="1:4" ht="15" x14ac:dyDescent="0.25">
      <c r="A44" s="46" t="s">
        <v>108</v>
      </c>
      <c r="B44" s="47"/>
      <c r="C44" s="47"/>
      <c r="D44" s="47"/>
    </row>
    <row r="45" spans="1:4" ht="15" x14ac:dyDescent="0.25">
      <c r="A45" s="47"/>
      <c r="B45" s="47"/>
      <c r="C45" s="47"/>
      <c r="D45" s="46" t="s">
        <v>109</v>
      </c>
    </row>
    <row r="47" spans="1:4" ht="15" x14ac:dyDescent="0.25">
      <c r="A47" s="46" t="s">
        <v>110</v>
      </c>
      <c r="B47" s="47"/>
      <c r="C47" s="47" t="s">
        <v>90</v>
      </c>
    </row>
    <row r="48" spans="1:4" x14ac:dyDescent="0.2">
      <c r="A48" s="47"/>
      <c r="B48" s="47"/>
      <c r="C48" s="47">
        <v>1774.8</v>
      </c>
    </row>
    <row r="49" spans="1:3" x14ac:dyDescent="0.2">
      <c r="A49" s="47"/>
      <c r="B49" s="47"/>
      <c r="C49" s="47">
        <v>146.19999999999999</v>
      </c>
    </row>
    <row r="50" spans="1:3" x14ac:dyDescent="0.2">
      <c r="A50" s="47"/>
      <c r="B50" s="47"/>
      <c r="C50" s="47">
        <v>151.22</v>
      </c>
    </row>
    <row r="51" spans="1:3" x14ac:dyDescent="0.2">
      <c r="A51" s="47"/>
      <c r="B51" s="47"/>
      <c r="C51" s="47">
        <v>242.25</v>
      </c>
    </row>
    <row r="52" spans="1:3" x14ac:dyDescent="0.2">
      <c r="A52" s="47"/>
      <c r="B52" s="47"/>
      <c r="C52" s="47">
        <v>301.99</v>
      </c>
    </row>
    <row r="53" spans="1:3" x14ac:dyDescent="0.2">
      <c r="A53" s="47"/>
      <c r="B53" s="47"/>
      <c r="C53" s="47"/>
    </row>
    <row r="54" spans="1:3" ht="15" x14ac:dyDescent="0.25">
      <c r="A54" s="47"/>
      <c r="B54" s="47" t="s">
        <v>88</v>
      </c>
      <c r="C54" s="46">
        <f>SUM(C48:C53)</f>
        <v>2616.46</v>
      </c>
    </row>
    <row r="56" spans="1:3" ht="15" x14ac:dyDescent="0.25">
      <c r="A56" s="46" t="s">
        <v>111</v>
      </c>
      <c r="B56" s="46"/>
      <c r="C56" s="47" t="s">
        <v>90</v>
      </c>
    </row>
    <row r="57" spans="1:3" ht="15" x14ac:dyDescent="0.25">
      <c r="A57" s="47" t="s">
        <v>112</v>
      </c>
      <c r="B57" s="47"/>
      <c r="C57" s="46">
        <f>278.43+14</f>
        <v>292.43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Plan.Orç</vt:lpstr>
      <vt:lpstr>Cron.Fis.Fin</vt:lpstr>
      <vt:lpstr>Plan1</vt:lpstr>
      <vt:lpstr>Cron.Fis.Fin!Area_de_impressao</vt:lpstr>
      <vt:lpstr>Plan.Orç!Area_de_impressao</vt:lpstr>
      <vt:lpstr>Plan.Orç!Titulos_de_impressao</vt:lpstr>
    </vt:vector>
  </TitlesOfParts>
  <Company>CEF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</dc:creator>
  <cp:lastModifiedBy>note001</cp:lastModifiedBy>
  <cp:lastPrinted>2018-07-23T18:46:14Z</cp:lastPrinted>
  <dcterms:created xsi:type="dcterms:W3CDTF">1998-09-25T18:07:46Z</dcterms:created>
  <dcterms:modified xsi:type="dcterms:W3CDTF">2018-08-24T12:54:48Z</dcterms:modified>
</cp:coreProperties>
</file>