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Felipe\Desktop\2017\Tomada de  Preços\003-17\"/>
    </mc:Choice>
  </mc:AlternateContent>
  <xr:revisionPtr revIDLastSave="0" documentId="12_ncr:500000_{F6A4F61B-AC83-435E-86DB-084F1831EA67}" xr6:coauthVersionLast="31" xr6:coauthVersionMax="31" xr10:uidLastSave="{00000000-0000-0000-0000-000000000000}"/>
  <bookViews>
    <workbookView xWindow="0" yWindow="0" windowWidth="28800" windowHeight="12225" tabRatio="575" activeTab="1" xr2:uid="{00000000-000D-0000-FFFF-FFFF00000000}"/>
  </bookViews>
  <sheets>
    <sheet name="Orçamento" sheetId="4" r:id="rId1"/>
    <sheet name="Cronograma" sheetId="5" r:id="rId2"/>
  </sheets>
  <definedNames>
    <definedName name="_xlnm.Print_Area" localSheetId="1">Cronograma!$A$1:$R$34</definedName>
    <definedName name="_xlnm.Print_Area" localSheetId="0">Orçamento!$A$1:$K$43</definedName>
    <definedName name="_xlnm.Print_Titles" localSheetId="0">Orçamento!$1:$12</definedName>
  </definedNames>
  <calcPr calcId="162913"/>
</workbook>
</file>

<file path=xl/calcChain.xml><?xml version="1.0" encoding="utf-8"?>
<calcChain xmlns="http://schemas.openxmlformats.org/spreadsheetml/2006/main">
  <c r="G25" i="5" l="1"/>
  <c r="I18" i="4"/>
  <c r="H18" i="4"/>
  <c r="J18" i="4" s="1"/>
  <c r="F38" i="4" l="1"/>
  <c r="H38" i="4" l="1"/>
  <c r="J38" i="4" s="1"/>
  <c r="H37" i="4"/>
  <c r="J37" i="4" s="1"/>
  <c r="H36" i="4"/>
  <c r="H35" i="4"/>
  <c r="J35" i="4" s="1"/>
  <c r="H33" i="4"/>
  <c r="H32" i="4"/>
  <c r="H31" i="4"/>
  <c r="H30" i="4"/>
  <c r="H29" i="4"/>
  <c r="H28" i="4"/>
  <c r="H27" i="4"/>
  <c r="J27" i="4" s="1"/>
  <c r="H25" i="4"/>
  <c r="J25" i="4" s="1"/>
  <c r="H24" i="4"/>
  <c r="J24" i="4" s="1"/>
  <c r="H23" i="4"/>
  <c r="J23" i="4" s="1"/>
  <c r="H22" i="4"/>
  <c r="J22" i="4" s="1"/>
  <c r="H20" i="4"/>
  <c r="J20" i="4" s="1"/>
  <c r="H19" i="4"/>
  <c r="J19" i="4" s="1"/>
  <c r="H17" i="4"/>
  <c r="J17" i="4" s="1"/>
  <c r="H16" i="4"/>
  <c r="J16" i="4" s="1"/>
  <c r="H14" i="4"/>
  <c r="J14" i="4" s="1"/>
  <c r="I38" i="4"/>
  <c r="I37" i="4"/>
  <c r="I35" i="4"/>
  <c r="I27" i="4"/>
  <c r="I25" i="4"/>
  <c r="I24" i="4"/>
  <c r="I23" i="4"/>
  <c r="I22" i="4"/>
  <c r="I20" i="4"/>
  <c r="I19" i="4"/>
  <c r="I17" i="4"/>
  <c r="I16" i="4"/>
  <c r="I14" i="4"/>
  <c r="I13" i="4" s="1"/>
  <c r="B27" i="5"/>
  <c r="A27" i="5"/>
  <c r="R28" i="5"/>
  <c r="F27" i="5"/>
  <c r="B25" i="5"/>
  <c r="A25" i="5"/>
  <c r="R26" i="5"/>
  <c r="I36" i="4"/>
  <c r="F31" i="4"/>
  <c r="F32" i="4" s="1"/>
  <c r="F33" i="4" s="1"/>
  <c r="F29" i="4"/>
  <c r="I29" i="4" s="1"/>
  <c r="F28" i="4"/>
  <c r="I28" i="4" s="1"/>
  <c r="Q13" i="5"/>
  <c r="C12" i="5"/>
  <c r="C11" i="5"/>
  <c r="E19" i="5"/>
  <c r="J21" i="4" l="1"/>
  <c r="I34" i="4"/>
  <c r="J36" i="4"/>
  <c r="J29" i="4"/>
  <c r="J33" i="4"/>
  <c r="I21" i="4"/>
  <c r="J31" i="4"/>
  <c r="I32" i="4"/>
  <c r="I15" i="4"/>
  <c r="I33" i="4"/>
  <c r="J28" i="4"/>
  <c r="J32" i="4"/>
  <c r="H27" i="5"/>
  <c r="J27" i="5" s="1"/>
  <c r="L27" i="5" s="1"/>
  <c r="N27" i="5" s="1"/>
  <c r="P27" i="5" s="1"/>
  <c r="I31" i="4"/>
  <c r="F30" i="4"/>
  <c r="R30" i="5"/>
  <c r="B23" i="5"/>
  <c r="A23" i="5"/>
  <c r="B21" i="5"/>
  <c r="A21" i="5"/>
  <c r="B19" i="5"/>
  <c r="A19" i="5"/>
  <c r="J30" i="4" l="1"/>
  <c r="J26" i="4" s="1"/>
  <c r="I30" i="4"/>
  <c r="I26" i="4" s="1"/>
  <c r="I42" i="4" s="1"/>
  <c r="J34" i="4"/>
  <c r="Q27" i="5" s="1"/>
  <c r="Q23" i="5"/>
  <c r="R24" i="5"/>
  <c r="R22" i="5"/>
  <c r="R20" i="5"/>
  <c r="K28" i="5" l="1"/>
  <c r="O28" i="5"/>
  <c r="G28" i="5"/>
  <c r="I28" i="5"/>
  <c r="M28" i="5"/>
  <c r="E28" i="5"/>
  <c r="Q25" i="5"/>
  <c r="E30" i="5"/>
  <c r="F29" i="5"/>
  <c r="F19" i="5"/>
  <c r="H19" i="5" s="1"/>
  <c r="F23" i="5"/>
  <c r="G30" i="5"/>
  <c r="J15" i="4"/>
  <c r="Q21" i="5" l="1"/>
  <c r="K26" i="5"/>
  <c r="O26" i="5"/>
  <c r="I26" i="5"/>
  <c r="M26" i="5"/>
  <c r="F21" i="5"/>
  <c r="H21" i="5" s="1"/>
  <c r="H29" i="5"/>
  <c r="J29" i="5" s="1"/>
  <c r="H23" i="5"/>
  <c r="I30" i="5"/>
  <c r="J19" i="5"/>
  <c r="J13" i="4"/>
  <c r="J42" i="4" s="1"/>
  <c r="M42" i="4" l="1"/>
  <c r="M34" i="4" s="1"/>
  <c r="L13" i="4"/>
  <c r="L21" i="4"/>
  <c r="L34" i="4"/>
  <c r="M13" i="4"/>
  <c r="L26" i="4"/>
  <c r="L15" i="4"/>
  <c r="E26" i="5"/>
  <c r="F25" i="5"/>
  <c r="G26" i="5"/>
  <c r="Q19" i="5"/>
  <c r="Q31" i="5" s="1"/>
  <c r="J23" i="5"/>
  <c r="L29" i="5"/>
  <c r="L19" i="5"/>
  <c r="N19" i="5" s="1"/>
  <c r="K30" i="5"/>
  <c r="J21" i="5"/>
  <c r="G24" i="5"/>
  <c r="I24" i="5"/>
  <c r="E24" i="5"/>
  <c r="I22" i="5"/>
  <c r="E22" i="5"/>
  <c r="G22" i="5"/>
  <c r="M15" i="4" l="1"/>
  <c r="M26" i="4"/>
  <c r="M21" i="4"/>
  <c r="H25" i="5"/>
  <c r="J25" i="5" s="1"/>
  <c r="L25" i="5" s="1"/>
  <c r="N25" i="5" s="1"/>
  <c r="P25" i="5" s="1"/>
  <c r="R27" i="5"/>
  <c r="R25" i="5"/>
  <c r="K20" i="5"/>
  <c r="E20" i="5"/>
  <c r="G20" i="5"/>
  <c r="G31" i="5" s="1"/>
  <c r="I20" i="5"/>
  <c r="M20" i="5"/>
  <c r="K22" i="5"/>
  <c r="L21" i="5"/>
  <c r="N21" i="5" s="1"/>
  <c r="R21" i="5"/>
  <c r="R29" i="5"/>
  <c r="K24" i="5"/>
  <c r="L23" i="5"/>
  <c r="R23" i="5"/>
  <c r="R19" i="5"/>
  <c r="R31" i="5" l="1"/>
  <c r="K31" i="5"/>
  <c r="K32" i="5" s="1"/>
  <c r="I31" i="5"/>
  <c r="I32" i="5" s="1"/>
  <c r="H31" i="5"/>
  <c r="E31" i="5"/>
  <c r="E32" i="5" s="1"/>
  <c r="E33" i="5" s="1"/>
  <c r="M22" i="5"/>
  <c r="P21" i="5"/>
  <c r="O20" i="5"/>
  <c r="P19" i="5"/>
  <c r="G32" i="5"/>
  <c r="F31" i="5" l="1"/>
  <c r="G33" i="5"/>
  <c r="I33" i="5" s="1"/>
  <c r="K33" i="5" s="1"/>
  <c r="J31" i="5"/>
  <c r="L31" i="5"/>
  <c r="M30" i="5"/>
  <c r="N29" i="5"/>
  <c r="P29" i="5" s="1"/>
  <c r="M24" i="5"/>
  <c r="M31" i="5" s="1"/>
  <c r="O30" i="5"/>
  <c r="O22" i="5"/>
  <c r="N23" i="5"/>
  <c r="P23" i="5" l="1"/>
  <c r="O24" i="5"/>
  <c r="O31" i="5" s="1"/>
  <c r="M32" i="5" l="1"/>
  <c r="M33" i="5" s="1"/>
  <c r="N31" i="5"/>
  <c r="P31" i="5" l="1"/>
  <c r="O32" i="5"/>
  <c r="O33" i="5" s="1"/>
  <c r="Q33" i="5" s="1"/>
</calcChain>
</file>

<file path=xl/sharedStrings.xml><?xml version="1.0" encoding="utf-8"?>
<sst xmlns="http://schemas.openxmlformats.org/spreadsheetml/2006/main" count="178" uniqueCount="128">
  <si>
    <t xml:space="preserve">Orçamentista: </t>
  </si>
  <si>
    <t>ITEM</t>
  </si>
  <si>
    <t>UNID.</t>
  </si>
  <si>
    <t>QUANT.</t>
  </si>
  <si>
    <t>1.0</t>
  </si>
  <si>
    <t>sub-total</t>
  </si>
  <si>
    <t>OBS</t>
  </si>
  <si>
    <t>A empresa devera disponibilizar o material + mão de obra para atender as necessidades da Prefeitura Municipal , conforme solicitação da Secretaria Municipal de Obras</t>
  </si>
  <si>
    <t>VALOR TOTAL DOS SERVIÇOS</t>
  </si>
  <si>
    <t>Cliente     :</t>
  </si>
  <si>
    <t>Calculista</t>
  </si>
  <si>
    <t>Local        :</t>
  </si>
  <si>
    <t>Obra         :</t>
  </si>
  <si>
    <t>Municipio :</t>
  </si>
  <si>
    <t>SERVIÇOS A EXECUTAR</t>
  </si>
  <si>
    <t>DISCRIMINAÇÃO</t>
  </si>
  <si>
    <t>DOS</t>
  </si>
  <si>
    <t>1º MES</t>
  </si>
  <si>
    <t>2º MES</t>
  </si>
  <si>
    <t>3º MES</t>
  </si>
  <si>
    <t>4º MES</t>
  </si>
  <si>
    <t>5º MES</t>
  </si>
  <si>
    <t>6º MES</t>
  </si>
  <si>
    <t xml:space="preserve">VALOR DOS  </t>
  </si>
  <si>
    <t>PESO</t>
  </si>
  <si>
    <t>SERVIÇOS</t>
  </si>
  <si>
    <t>Parc. %</t>
  </si>
  <si>
    <t>Acum. %</t>
  </si>
  <si>
    <t>SERVIÇOS (R$)</t>
  </si>
  <si>
    <t>%</t>
  </si>
  <si>
    <t>Fisico%</t>
  </si>
  <si>
    <t>Financeiro</t>
  </si>
  <si>
    <t>TOTAL EM %</t>
  </si>
  <si>
    <t>PARCELA MENSAL EM R$</t>
  </si>
  <si>
    <t>PARCELA ACUMULADA EM R$</t>
  </si>
  <si>
    <t>M3</t>
  </si>
  <si>
    <t>M2</t>
  </si>
  <si>
    <t>PREFEITURA MUNICIPAL DE AGUAÍ</t>
  </si>
  <si>
    <t>SECRETARIA MUNICIPAL DE PLANEJAMENTO, SERVIÇOS URBANOS E MEIO AMBIENTE</t>
  </si>
  <si>
    <t>CIDADE: Aguaí/SP</t>
  </si>
  <si>
    <t>FONTE</t>
  </si>
  <si>
    <t>Prefeitura Municipal de Aguaí</t>
  </si>
  <si>
    <t>Aguaí - SP</t>
  </si>
  <si>
    <t xml:space="preserve">LOCAL:  </t>
  </si>
  <si>
    <t>1.1</t>
  </si>
  <si>
    <t>Placa de obra em chapa de aço galvanizado</t>
  </si>
  <si>
    <t>BDI considerado</t>
  </si>
  <si>
    <t>2.0</t>
  </si>
  <si>
    <t>DESCRIMINAÇÃO - FORNECIMENTO DE MATERIAIS E SERVIÇOS</t>
  </si>
  <si>
    <t>PLACA DA OBRA</t>
  </si>
  <si>
    <t>2.1</t>
  </si>
  <si>
    <t>2.2</t>
  </si>
  <si>
    <t>3.0</t>
  </si>
  <si>
    <t>SINALIZAÇÃO</t>
  </si>
  <si>
    <t>3.1</t>
  </si>
  <si>
    <t>3.2</t>
  </si>
  <si>
    <t>3.3</t>
  </si>
  <si>
    <t>3.4</t>
  </si>
  <si>
    <t>Sinalizacao horizontal com tinta retrorrefletiva a base de resina acrilica com microesferas de vidro</t>
  </si>
  <si>
    <t xml:space="preserve">Lançamento/aplicação manual de concreto </t>
  </si>
  <si>
    <t>REGULARIZACAO DE SUPERFICIE DE CONC. APARENTE</t>
  </si>
  <si>
    <t>Pintura acrilica em piso cimentado duas demãos</t>
  </si>
  <si>
    <t>OBJETO:</t>
  </si>
  <si>
    <t>Área total de Arruamento: 4.964 m2  |  Extensão total dos Arruamentos: 584 m</t>
  </si>
  <si>
    <t>Rua Mario Valim, Rua José Mariano Santos, Rua Pilade Zoldan, Rua Bertolino Dutra do Nascimento</t>
  </si>
  <si>
    <t>2.4</t>
  </si>
  <si>
    <t>Placa esmaltada para identificação nome de rua, dimensões 45x25cm</t>
  </si>
  <si>
    <t>ACESSIBILIDADE</t>
  </si>
  <si>
    <t>4.0</t>
  </si>
  <si>
    <t xml:space="preserve"> PAVIMENTAÇÃO ASFÁLTICA</t>
  </si>
  <si>
    <t>4.1</t>
  </si>
  <si>
    <t>4.2</t>
  </si>
  <si>
    <t>4.3</t>
  </si>
  <si>
    <t>4.4</t>
  </si>
  <si>
    <t>4.5</t>
  </si>
  <si>
    <t>4.6</t>
  </si>
  <si>
    <t>4.7</t>
  </si>
  <si>
    <t>T*Km</t>
  </si>
  <si>
    <t>M3xKm</t>
  </si>
  <si>
    <t xml:space="preserve">REGULARIZACAO E COMPACTACAO DE SUBLEITO ATE 20 CM DE ESPESSURA </t>
  </si>
  <si>
    <t>PINTURA DE LIGACAO COM EMULSAO RR-1C</t>
  </si>
  <si>
    <t>5.0</t>
  </si>
  <si>
    <t>CALÇADA</t>
  </si>
  <si>
    <t>5.1</t>
  </si>
  <si>
    <t>5.2</t>
  </si>
  <si>
    <t>5.3</t>
  </si>
  <si>
    <t>5.4</t>
  </si>
  <si>
    <t>LIMPEZA MANUAL DO TERRENO (C/ RASPAGEM SUPERFICIAL)</t>
  </si>
  <si>
    <t>P. UNIT.
S/BDI</t>
  </si>
  <si>
    <t>P. UNIT.
C/BDI</t>
  </si>
  <si>
    <t>PRECO TOTAL
S/ BDI</t>
  </si>
  <si>
    <t>PRECO TOTAL
C/ BDI</t>
  </si>
  <si>
    <t>Placa de sinalização em chapa de aço n° 16 com Pintura Refletiva - PARE</t>
  </si>
  <si>
    <t>EXECUÇÃO DE IMPRIMAÇÃO COM ASFALTO DILUÍDO CM-30.</t>
  </si>
  <si>
    <t>EXECUÇÃO E COMPACTAÇÃO DE BASE E OU SUB BASE COM BRITA GRADUADA TRATADA COM CIMENTO - EXCLUSIVE CARGA E TRANSPORTE.</t>
  </si>
  <si>
    <t>TRANSPORTE COMERCIAL COM CAMINHAO BASCULANTE 6 M3, RODOVIA PAVIMENTADA - MAT. BASE -(BRITA) (20KM)</t>
  </si>
  <si>
    <t>REATERRO MANUAL APILOADO COM SOQUETE</t>
  </si>
  <si>
    <t>Concreto FCK=15MPA, preparo com betoneira, sem lançamento, PREPARO MECÂNICO COM BETONEIRA 400 L</t>
  </si>
  <si>
    <t>LASTRO COM PREPARO DE FUNDO, LARGURA MAIOR OU IGUAL A 1,5 M, COM CAMADA DE BRITA, LANÇAMENTO MANUAL, EM LOCAL COM NÍVEL ALTO DE INTERFERÊNCIA</t>
  </si>
  <si>
    <t>CONSTRUÇÃO DE PAVIMENTO COM APLICAÇÃO DE CONCRETO BETUMINOSO USINADO A QUENTE (CBUQ), CAMADA DE ROLAMENTO, COM ESPESSURA DE 3,0 CM - EXCLUSIVE TRANSPORTE</t>
  </si>
  <si>
    <t>2.3</t>
  </si>
  <si>
    <t>Pavimentação Asfáltica (com regularização de subleito, sub-base, base e imprimação), Sinalização Horizontal, Sinalização Vertical e Calçadas Acessibilidade NBR 9050</t>
  </si>
  <si>
    <t>TRANSPORTE COMERCIAL COM CAMINHAO BASCULANTE 6 M3, RODOVIA PAVIMENTADA - CBUQ (DMT=10KM)</t>
  </si>
  <si>
    <t>DATA  : 11/04/2018</t>
  </si>
  <si>
    <t>74209/001
SINAPI Fev/18</t>
  </si>
  <si>
    <t>72947
SINAPI Fev/18</t>
  </si>
  <si>
    <t>74245/001
SINAPI Fev/18</t>
  </si>
  <si>
    <t>73916/002
SINAPI Fev/18</t>
  </si>
  <si>
    <t>34723
SINAPI Fev/18</t>
  </si>
  <si>
    <t>Sinapi e CPOS 
Não Desonerado</t>
  </si>
  <si>
    <t>97.03.010
CPOS Tabela 172</t>
  </si>
  <si>
    <t>Sinalização com pictograma em tinta acrílica</t>
  </si>
  <si>
    <t>2.5</t>
  </si>
  <si>
    <t>96995
SINAPI Fev/18</t>
  </si>
  <si>
    <t>94963
SINAPI Fev/18</t>
  </si>
  <si>
    <t>74157/004
SINAPI Fev/18</t>
  </si>
  <si>
    <t>40780
SINAPI Fev/18</t>
  </si>
  <si>
    <t>72961
SINAPI Fev/18</t>
  </si>
  <si>
    <t>96397
SINAPI Fev/18</t>
  </si>
  <si>
    <t>96401
SINAPI Fev/18</t>
  </si>
  <si>
    <t>72887
SINAPI Fev/18</t>
  </si>
  <si>
    <t>72942
SINAPI Fev/18</t>
  </si>
  <si>
    <t>95990
SINAPI Fev/18</t>
  </si>
  <si>
    <t>72843
SINAPI Fev/18</t>
  </si>
  <si>
    <t>73948/016
SINAPI Fev/18</t>
  </si>
  <si>
    <t>94110
SINAPI Fev/18</t>
  </si>
  <si>
    <t>ANEXO II - PLANILHA ORÇAMENTÁRIA - PLANO DE TRABALHO 1030.378-28</t>
  </si>
  <si>
    <t>ANEXO III - CRONOGRAMA FISÍCO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</si>
</sst>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&quot;* #,##0.00_);_(&quot;R$&quot;* \(#,##0.00\);_(&quot;R$&quot;* \-??_);_(@_)"/>
    <numFmt numFmtId="165" formatCode="_(* #,##0.00_);_(* \(#,##0.00\);_(* \-??_);_(@_)"/>
    <numFmt numFmtId="166" formatCode="&quot;R$&quot;\ #,##0.00"/>
  </numFmts>
  <fonts count="40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</font>
    <font>
      <sz val="11"/>
      <name val="Arial"/>
      <family val="2"/>
    </font>
    <font>
      <sz val="11"/>
      <name val="Arial"/>
      <family val="2"/>
      <charset val="1"/>
    </font>
    <font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trike/>
      <sz val="12"/>
      <name val="Arial"/>
      <family val="2"/>
      <charset val="1"/>
    </font>
    <font>
      <b/>
      <i/>
      <sz val="12"/>
      <name val="Arial"/>
      <family val="2"/>
      <charset val="1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39" fillId="0" borderId="0" applyFill="0" applyBorder="0" applyAlignment="0" applyProtection="0"/>
    <xf numFmtId="0" fontId="10" fillId="22" borderId="0" applyNumberFormat="0" applyBorder="0" applyAlignment="0" applyProtection="0"/>
    <xf numFmtId="0" fontId="39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165" fontId="39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" fillId="0" borderId="0"/>
  </cellStyleXfs>
  <cellXfs count="150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/>
    <xf numFmtId="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0" fontId="0" fillId="24" borderId="0" xfId="0" applyFont="1" applyFill="1" applyAlignment="1">
      <alignment horizontal="center"/>
    </xf>
    <xf numFmtId="10" fontId="0" fillId="24" borderId="0" xfId="0" applyNumberFormat="1" applyFill="1" applyAlignment="1">
      <alignment horizontal="center"/>
    </xf>
    <xf numFmtId="14" fontId="21" fillId="0" borderId="0" xfId="0" applyNumberFormat="1" applyFont="1" applyBorder="1" applyAlignment="1">
      <alignment horizontal="left"/>
    </xf>
    <xf numFmtId="0" fontId="27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4" fontId="22" fillId="0" borderId="12" xfId="36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7" fillId="0" borderId="13" xfId="0" applyFont="1" applyBorder="1" applyAlignment="1">
      <alignment horizontal="left" vertical="center"/>
    </xf>
    <xf numFmtId="0" fontId="31" fillId="0" borderId="0" xfId="0" applyFont="1" applyBorder="1" applyAlignment="1"/>
    <xf numFmtId="0" fontId="33" fillId="0" borderId="17" xfId="0" applyFont="1" applyBorder="1" applyAlignment="1">
      <alignment horizontal="right" vertical="top"/>
    </xf>
    <xf numFmtId="0" fontId="33" fillId="0" borderId="18" xfId="0" applyFont="1" applyBorder="1" applyAlignment="1">
      <alignment horizontal="right"/>
    </xf>
    <xf numFmtId="2" fontId="34" fillId="0" borderId="19" xfId="0" applyNumberFormat="1" applyFont="1" applyBorder="1" applyAlignment="1" applyProtection="1">
      <alignment horizontal="right" vertical="center"/>
    </xf>
    <xf numFmtId="2" fontId="34" fillId="0" borderId="20" xfId="0" applyNumberFormat="1" applyFont="1" applyBorder="1" applyAlignment="1" applyProtection="1">
      <alignment horizontal="center" vertical="center"/>
    </xf>
    <xf numFmtId="2" fontId="34" fillId="0" borderId="13" xfId="0" applyNumberFormat="1" applyFont="1" applyBorder="1" applyAlignment="1" applyProtection="1">
      <alignment horizontal="center" vertical="center"/>
    </xf>
    <xf numFmtId="2" fontId="34" fillId="0" borderId="21" xfId="0" applyNumberFormat="1" applyFont="1" applyBorder="1" applyAlignment="1" applyProtection="1">
      <alignment horizontal="right" vertical="center"/>
    </xf>
    <xf numFmtId="2" fontId="34" fillId="0" borderId="22" xfId="0" applyNumberFormat="1" applyFont="1" applyBorder="1" applyAlignment="1" applyProtection="1">
      <alignment horizontal="center" vertical="center"/>
    </xf>
    <xf numFmtId="4" fontId="33" fillId="0" borderId="23" xfId="0" applyNumberFormat="1" applyFont="1" applyBorder="1" applyAlignment="1" applyProtection="1">
      <alignment horizontal="center" vertical="center"/>
    </xf>
    <xf numFmtId="4" fontId="33" fillId="0" borderId="13" xfId="0" applyNumberFormat="1" applyFont="1" applyBorder="1" applyAlignment="1" applyProtection="1">
      <alignment horizontal="center" vertical="center"/>
      <protection locked="0"/>
    </xf>
    <xf numFmtId="4" fontId="34" fillId="25" borderId="13" xfId="0" applyNumberFormat="1" applyFont="1" applyFill="1" applyBorder="1" applyAlignment="1" applyProtection="1">
      <alignment horizontal="center" vertical="center"/>
    </xf>
    <xf numFmtId="4" fontId="33" fillId="0" borderId="13" xfId="0" applyNumberFormat="1" applyFont="1" applyBorder="1" applyAlignment="1" applyProtection="1">
      <alignment horizontal="center" vertical="center"/>
    </xf>
    <xf numFmtId="4" fontId="34" fillId="16" borderId="13" xfId="0" applyNumberFormat="1" applyFont="1" applyFill="1" applyBorder="1" applyAlignment="1" applyProtection="1">
      <alignment horizontal="center" vertical="center"/>
    </xf>
    <xf numFmtId="4" fontId="19" fillId="0" borderId="23" xfId="0" applyNumberFormat="1" applyFont="1" applyBorder="1" applyAlignment="1" applyProtection="1">
      <alignment horizontal="left" vertical="center"/>
    </xf>
    <xf numFmtId="4" fontId="33" fillId="0" borderId="24" xfId="0" applyNumberFormat="1" applyFont="1" applyBorder="1" applyAlignment="1" applyProtection="1">
      <alignment horizontal="center" vertical="center"/>
    </xf>
    <xf numFmtId="4" fontId="34" fillId="25" borderId="24" xfId="0" applyNumberFormat="1" applyFont="1" applyFill="1" applyBorder="1" applyAlignment="1" applyProtection="1">
      <alignment horizontal="center" vertical="center"/>
    </xf>
    <xf numFmtId="4" fontId="36" fillId="25" borderId="25" xfId="0" applyNumberFormat="1" applyFont="1" applyFill="1" applyBorder="1" applyAlignment="1">
      <alignment horizontal="right" vertical="center"/>
    </xf>
    <xf numFmtId="0" fontId="19" fillId="0" borderId="26" xfId="0" applyFont="1" applyBorder="1" applyAlignment="1" applyProtection="1">
      <alignment horizontal="left" vertical="center"/>
    </xf>
    <xf numFmtId="4" fontId="37" fillId="25" borderId="23" xfId="0" applyNumberFormat="1" applyFont="1" applyFill="1" applyBorder="1" applyAlignment="1" applyProtection="1">
      <alignment horizontal="right" vertical="center"/>
    </xf>
    <xf numFmtId="0" fontId="19" fillId="0" borderId="27" xfId="0" applyFont="1" applyBorder="1" applyAlignment="1" applyProtection="1">
      <alignment horizontal="left" vertical="center"/>
    </xf>
    <xf numFmtId="10" fontId="36" fillId="25" borderId="16" xfId="0" applyNumberFormat="1" applyFont="1" applyFill="1" applyBorder="1" applyAlignment="1" applyProtection="1">
      <alignment horizontal="right" vertical="center"/>
    </xf>
    <xf numFmtId="0" fontId="24" fillId="0" borderId="0" xfId="0" applyFont="1" applyBorder="1"/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2" fontId="36" fillId="0" borderId="36" xfId="0" applyNumberFormat="1" applyFont="1" applyBorder="1" applyAlignment="1" applyProtection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right" vertical="center"/>
    </xf>
    <xf numFmtId="10" fontId="1" fillId="0" borderId="47" xfId="34" applyNumberFormat="1" applyFill="1" applyBorder="1" applyAlignment="1" applyProtection="1">
      <alignment horizontal="right" vertical="center"/>
    </xf>
    <xf numFmtId="0" fontId="22" fillId="16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vertical="center"/>
    </xf>
    <xf numFmtId="0" fontId="22" fillId="16" borderId="12" xfId="0" applyFont="1" applyFill="1" applyBorder="1" applyAlignment="1">
      <alignment vertical="center"/>
    </xf>
    <xf numFmtId="4" fontId="20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right" vertical="top"/>
    </xf>
    <xf numFmtId="4" fontId="22" fillId="0" borderId="50" xfId="36" applyNumberFormat="1" applyFont="1" applyFill="1" applyBorder="1" applyAlignment="1" applyProtection="1">
      <alignment horizontal="center" vertical="center"/>
    </xf>
    <xf numFmtId="4" fontId="27" fillId="25" borderId="5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164" fontId="29" fillId="0" borderId="30" xfId="31" applyFont="1" applyFill="1" applyBorder="1" applyAlignment="1" applyProtection="1">
      <alignment horizontal="right" vertical="center"/>
    </xf>
    <xf numFmtId="164" fontId="22" fillId="16" borderId="51" xfId="31" applyFont="1" applyFill="1" applyBorder="1" applyAlignment="1" applyProtection="1">
      <alignment horizontal="right" vertical="center"/>
    </xf>
    <xf numFmtId="164" fontId="22" fillId="16" borderId="52" xfId="31" applyFont="1" applyFill="1" applyBorder="1" applyAlignment="1" applyProtection="1">
      <alignment horizontal="right" vertical="center"/>
    </xf>
    <xf numFmtId="164" fontId="26" fillId="0" borderId="51" xfId="31" applyFont="1" applyFill="1" applyBorder="1" applyAlignment="1" applyProtection="1">
      <alignment horizontal="right" vertical="center"/>
    </xf>
    <xf numFmtId="164" fontId="27" fillId="0" borderId="53" xfId="31" applyFont="1" applyFill="1" applyBorder="1" applyAlignment="1" applyProtection="1">
      <alignment horizontal="right" vertical="center"/>
    </xf>
    <xf numFmtId="164" fontId="22" fillId="16" borderId="53" xfId="31" applyFont="1" applyFill="1" applyBorder="1" applyAlignment="1" applyProtection="1">
      <alignment horizontal="right" vertical="center"/>
    </xf>
    <xf numFmtId="4" fontId="22" fillId="0" borderId="54" xfId="36" applyNumberFormat="1" applyFont="1" applyFill="1" applyBorder="1" applyAlignment="1" applyProtection="1">
      <alignment horizontal="center" vertical="center"/>
    </xf>
    <xf numFmtId="164" fontId="27" fillId="0" borderId="55" xfId="31" applyFont="1" applyFill="1" applyBorder="1" applyAlignment="1" applyProtection="1">
      <alignment horizontal="right" vertical="center"/>
    </xf>
    <xf numFmtId="166" fontId="22" fillId="0" borderId="50" xfId="36" applyNumberFormat="1" applyFont="1" applyFill="1" applyBorder="1" applyAlignment="1" applyProtection="1">
      <alignment horizontal="center" vertical="center"/>
    </xf>
    <xf numFmtId="164" fontId="29" fillId="0" borderId="56" xfId="31" applyFont="1" applyFill="1" applyBorder="1" applyAlignment="1" applyProtection="1">
      <alignment horizontal="right" vertical="center"/>
    </xf>
    <xf numFmtId="0" fontId="27" fillId="0" borderId="13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24" fillId="0" borderId="63" xfId="0" applyFont="1" applyBorder="1" applyAlignment="1">
      <alignment vertical="center"/>
    </xf>
    <xf numFmtId="14" fontId="24" fillId="0" borderId="68" xfId="0" applyNumberFormat="1" applyFont="1" applyBorder="1" applyAlignment="1">
      <alignment horizontal="right" vertical="center"/>
    </xf>
    <xf numFmtId="4" fontId="24" fillId="0" borderId="70" xfId="0" applyNumberFormat="1" applyFont="1" applyBorder="1" applyAlignment="1">
      <alignment horizontal="center" vertical="center"/>
    </xf>
    <xf numFmtId="4" fontId="24" fillId="0" borderId="71" xfId="31" applyNumberFormat="1" applyFont="1" applyFill="1" applyBorder="1" applyAlignment="1" applyProtection="1">
      <alignment horizont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4" fontId="22" fillId="0" borderId="73" xfId="36" applyNumberFormat="1" applyFont="1" applyFill="1" applyBorder="1" applyAlignment="1" applyProtection="1">
      <alignment horizontal="center" vertical="center"/>
    </xf>
    <xf numFmtId="0" fontId="22" fillId="0" borderId="73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164" fontId="22" fillId="0" borderId="75" xfId="31" applyFont="1" applyFill="1" applyBorder="1" applyAlignment="1" applyProtection="1">
      <alignment horizontal="center" vertical="center" wrapText="1"/>
    </xf>
    <xf numFmtId="164" fontId="22" fillId="0" borderId="76" xfId="31" applyFont="1" applyFill="1" applyBorder="1" applyAlignment="1" applyProtection="1">
      <alignment horizontal="center" vertical="center" wrapText="1"/>
    </xf>
    <xf numFmtId="0" fontId="22" fillId="16" borderId="77" xfId="0" applyFont="1" applyFill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/>
    </xf>
    <xf numFmtId="0" fontId="22" fillId="0" borderId="78" xfId="0" applyFont="1" applyBorder="1" applyAlignment="1">
      <alignment horizontal="center" vertical="center"/>
    </xf>
    <xf numFmtId="0" fontId="22" fillId="0" borderId="80" xfId="0" applyFont="1" applyBorder="1" applyAlignment="1">
      <alignment horizontal="right" vertical="center"/>
    </xf>
    <xf numFmtId="0" fontId="22" fillId="0" borderId="81" xfId="0" applyFont="1" applyBorder="1" applyAlignment="1">
      <alignment horizontal="right" vertical="center"/>
    </xf>
    <xf numFmtId="0" fontId="22" fillId="0" borderId="82" xfId="0" applyFont="1" applyBorder="1" applyAlignment="1">
      <alignment horizontal="right"/>
    </xf>
    <xf numFmtId="164" fontId="29" fillId="0" borderId="83" xfId="31" applyNumberFormat="1" applyFont="1" applyFill="1" applyBorder="1" applyAlignment="1" applyProtection="1">
      <alignment horizontal="center" vertical="center"/>
    </xf>
    <xf numFmtId="164" fontId="29" fillId="0" borderId="84" xfId="31" applyNumberFormat="1" applyFont="1" applyFill="1" applyBorder="1" applyAlignment="1" applyProtection="1">
      <alignment horizontal="center" vertical="center"/>
    </xf>
    <xf numFmtId="0" fontId="24" fillId="0" borderId="66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4" fontId="25" fillId="0" borderId="29" xfId="0" applyNumberFormat="1" applyFont="1" applyBorder="1" applyAlignment="1">
      <alignment horizontal="center"/>
    </xf>
    <xf numFmtId="4" fontId="25" fillId="0" borderId="65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right" vertical="top"/>
    </xf>
    <xf numFmtId="4" fontId="23" fillId="0" borderId="60" xfId="0" applyNumberFormat="1" applyFont="1" applyBorder="1" applyAlignment="1">
      <alignment horizontal="center" vertical="center"/>
    </xf>
    <xf numFmtId="4" fontId="23" fillId="0" borderId="61" xfId="0" applyNumberFormat="1" applyFont="1" applyBorder="1" applyAlignment="1">
      <alignment horizontal="center" vertical="center"/>
    </xf>
    <xf numFmtId="4" fontId="23" fillId="0" borderId="62" xfId="0" applyNumberFormat="1" applyFont="1" applyBorder="1" applyAlignment="1">
      <alignment horizontal="center" vertical="center"/>
    </xf>
    <xf numFmtId="4" fontId="24" fillId="0" borderId="28" xfId="0" applyNumberFormat="1" applyFont="1" applyBorder="1" applyAlignment="1">
      <alignment horizontal="left" vertical="center"/>
    </xf>
    <xf numFmtId="4" fontId="24" fillId="0" borderId="64" xfId="0" applyNumberFormat="1" applyFont="1" applyBorder="1" applyAlignment="1">
      <alignment horizontal="left" vertical="center"/>
    </xf>
    <xf numFmtId="0" fontId="24" fillId="0" borderId="58" xfId="0" applyFont="1" applyBorder="1" applyAlignment="1">
      <alignment horizontal="left" wrapText="1"/>
    </xf>
    <xf numFmtId="0" fontId="24" fillId="0" borderId="59" xfId="0" applyFont="1" applyBorder="1" applyAlignment="1">
      <alignment horizontal="left" wrapText="1"/>
    </xf>
    <xf numFmtId="4" fontId="27" fillId="16" borderId="82" xfId="0" applyNumberFormat="1" applyFont="1" applyFill="1" applyBorder="1" applyAlignment="1">
      <alignment horizontal="right"/>
    </xf>
    <xf numFmtId="4" fontId="19" fillId="0" borderId="29" xfId="0" applyNumberFormat="1" applyFont="1" applyBorder="1" applyAlignment="1">
      <alignment horizontal="center"/>
    </xf>
    <xf numFmtId="4" fontId="19" fillId="0" borderId="65" xfId="0" applyNumberFormat="1" applyFont="1" applyBorder="1" applyAlignment="1">
      <alignment horizontal="center"/>
    </xf>
    <xf numFmtId="4" fontId="24" fillId="0" borderId="69" xfId="0" applyNumberFormat="1" applyFont="1" applyBorder="1" applyAlignment="1">
      <alignment horizontal="center" vertical="center"/>
    </xf>
    <xf numFmtId="4" fontId="24" fillId="0" borderId="70" xfId="0" applyNumberFormat="1" applyFont="1" applyBorder="1" applyAlignment="1">
      <alignment horizontal="center" vertical="center"/>
    </xf>
    <xf numFmtId="0" fontId="28" fillId="27" borderId="30" xfId="0" applyFont="1" applyFill="1" applyBorder="1" applyAlignment="1">
      <alignment horizontal="right" vertical="center"/>
    </xf>
    <xf numFmtId="0" fontId="28" fillId="27" borderId="26" xfId="0" applyFont="1" applyFill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0" borderId="79" xfId="0" applyFont="1" applyBorder="1" applyAlignment="1">
      <alignment horizontal="left" vertical="center"/>
    </xf>
    <xf numFmtId="0" fontId="28" fillId="27" borderId="57" xfId="0" applyFont="1" applyFill="1" applyBorder="1" applyAlignment="1">
      <alignment horizontal="right" vertical="center"/>
    </xf>
    <xf numFmtId="10" fontId="1" fillId="0" borderId="30" xfId="34" applyNumberFormat="1" applyFill="1" applyBorder="1" applyAlignment="1" applyProtection="1">
      <alignment horizontal="left" vertical="center"/>
    </xf>
    <xf numFmtId="10" fontId="1" fillId="0" borderId="26" xfId="34" applyNumberFormat="1" applyFill="1" applyBorder="1" applyAlignment="1" applyProtection="1">
      <alignment horizontal="left" vertical="center"/>
    </xf>
    <xf numFmtId="1" fontId="33" fillId="0" borderId="35" xfId="0" applyNumberFormat="1" applyFont="1" applyBorder="1" applyAlignment="1" applyProtection="1">
      <alignment horizontal="center" vertical="center" wrapText="1"/>
    </xf>
    <xf numFmtId="1" fontId="33" fillId="0" borderId="11" xfId="0" applyNumberFormat="1" applyFont="1" applyBorder="1" applyAlignment="1" applyProtection="1">
      <alignment horizontal="center" vertical="center" wrapText="1"/>
    </xf>
    <xf numFmtId="0" fontId="35" fillId="0" borderId="13" xfId="0" applyFont="1" applyBorder="1" applyAlignment="1">
      <alignment horizontal="left" vertical="center" wrapText="1"/>
    </xf>
    <xf numFmtId="4" fontId="36" fillId="25" borderId="13" xfId="0" applyNumberFormat="1" applyFont="1" applyFill="1" applyBorder="1" applyAlignment="1">
      <alignment horizontal="right" vertical="center"/>
    </xf>
    <xf numFmtId="2" fontId="36" fillId="0" borderId="36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2" fontId="34" fillId="0" borderId="31" xfId="0" applyNumberFormat="1" applyFont="1" applyBorder="1" applyAlignment="1" applyProtection="1">
      <alignment horizontal="center" vertical="center"/>
    </xf>
    <xf numFmtId="0" fontId="32" fillId="0" borderId="38" xfId="0" applyFont="1" applyBorder="1" applyAlignment="1">
      <alignment vertical="center"/>
    </xf>
    <xf numFmtId="1" fontId="33" fillId="25" borderId="14" xfId="0" applyNumberFormat="1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center" vertical="top"/>
    </xf>
    <xf numFmtId="4" fontId="33" fillId="25" borderId="13" xfId="0" applyNumberFormat="1" applyFont="1" applyFill="1" applyBorder="1" applyAlignment="1" applyProtection="1">
      <alignment horizontal="center" vertical="center"/>
    </xf>
    <xf numFmtId="4" fontId="36" fillId="25" borderId="24" xfId="0" applyNumberFormat="1" applyFont="1" applyFill="1" applyBorder="1" applyAlignment="1">
      <alignment horizontal="right" vertical="center"/>
    </xf>
    <xf numFmtId="4" fontId="36" fillId="25" borderId="37" xfId="0" applyNumberFormat="1" applyFont="1" applyFill="1" applyBorder="1" applyAlignment="1">
      <alignment horizontal="right" vertical="center"/>
    </xf>
    <xf numFmtId="2" fontId="33" fillId="0" borderId="48" xfId="0" applyNumberFormat="1" applyFont="1" applyBorder="1" applyAlignment="1" applyProtection="1">
      <alignment horizontal="left" vertical="center" wrapText="1"/>
    </xf>
    <xf numFmtId="2" fontId="33" fillId="0" borderId="23" xfId="0" applyNumberFormat="1" applyFont="1" applyBorder="1" applyAlignment="1" applyProtection="1">
      <alignment horizontal="left" vertical="center" wrapText="1"/>
    </xf>
    <xf numFmtId="2" fontId="33" fillId="0" borderId="49" xfId="0" applyNumberFormat="1" applyFont="1" applyBorder="1" applyAlignment="1" applyProtection="1">
      <alignment horizontal="left" vertical="center" wrapText="1"/>
    </xf>
    <xf numFmtId="2" fontId="33" fillId="0" borderId="12" xfId="0" applyNumberFormat="1" applyFont="1" applyBorder="1" applyAlignment="1" applyProtection="1">
      <alignment horizontal="left" vertical="center" wrapText="1"/>
    </xf>
    <xf numFmtId="2" fontId="33" fillId="16" borderId="34" xfId="0" applyNumberFormat="1" applyFont="1" applyFill="1" applyBorder="1" applyAlignment="1" applyProtection="1">
      <alignment horizontal="center" vertical="center"/>
    </xf>
    <xf numFmtId="2" fontId="33" fillId="0" borderId="15" xfId="0" applyNumberFormat="1" applyFont="1" applyBorder="1" applyAlignment="1" applyProtection="1">
      <alignment horizontal="left" vertical="center"/>
    </xf>
    <xf numFmtId="4" fontId="36" fillId="25" borderId="16" xfId="0" applyNumberFormat="1" applyFont="1" applyFill="1" applyBorder="1" applyAlignment="1" applyProtection="1">
      <alignment horizontal="center" vertical="center"/>
    </xf>
    <xf numFmtId="0" fontId="19" fillId="0" borderId="26" xfId="0" applyFont="1" applyBorder="1" applyAlignment="1">
      <alignment horizontal="left" vertical="center"/>
    </xf>
    <xf numFmtId="2" fontId="33" fillId="0" borderId="39" xfId="0" applyNumberFormat="1" applyFont="1" applyBorder="1" applyAlignment="1" applyProtection="1">
      <alignment horizontal="center"/>
    </xf>
    <xf numFmtId="2" fontId="34" fillId="0" borderId="40" xfId="0" applyNumberFormat="1" applyFont="1" applyBorder="1" applyAlignment="1">
      <alignment horizontal="center" vertical="center"/>
    </xf>
    <xf numFmtId="2" fontId="34" fillId="0" borderId="10" xfId="0" applyNumberFormat="1" applyFont="1" applyBorder="1" applyAlignment="1" applyProtection="1">
      <alignment horizontal="center" vertical="center"/>
    </xf>
    <xf numFmtId="2" fontId="34" fillId="0" borderId="41" xfId="0" applyNumberFormat="1" applyFont="1" applyBorder="1" applyAlignment="1" applyProtection="1">
      <alignment horizontal="center" vertical="center"/>
    </xf>
    <xf numFmtId="2" fontId="34" fillId="0" borderId="42" xfId="0" applyNumberFormat="1" applyFont="1" applyBorder="1" applyAlignment="1" applyProtection="1">
      <alignment horizontal="center" vertical="center"/>
    </xf>
    <xf numFmtId="2" fontId="34" fillId="0" borderId="19" xfId="0" applyNumberFormat="1" applyFont="1" applyBorder="1" applyAlignment="1" applyProtection="1">
      <alignment horizontal="center" vertical="center"/>
    </xf>
    <xf numFmtId="2" fontId="34" fillId="0" borderId="37" xfId="0" applyNumberFormat="1" applyFont="1" applyBorder="1" applyAlignment="1" applyProtection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32" fillId="0" borderId="43" xfId="0" applyFont="1" applyBorder="1" applyAlignment="1">
      <alignment vertical="center"/>
    </xf>
    <xf numFmtId="0" fontId="19" fillId="0" borderId="44" xfId="0" applyFont="1" applyBorder="1" applyAlignment="1">
      <alignment horizontal="left" vertical="center"/>
    </xf>
    <xf numFmtId="0" fontId="32" fillId="0" borderId="45" xfId="0" applyFont="1" applyBorder="1" applyAlignment="1">
      <alignment vertical="center"/>
    </xf>
    <xf numFmtId="0" fontId="33" fillId="0" borderId="46" xfId="0" applyFont="1" applyBorder="1" applyAlignment="1">
      <alignment horizontal="center" wrapText="1"/>
    </xf>
    <xf numFmtId="0" fontId="32" fillId="0" borderId="45" xfId="0" applyFont="1" applyBorder="1" applyAlignment="1" applyProtection="1">
      <alignment vertical="center"/>
      <protection locked="0"/>
    </xf>
  </cellXfs>
  <cellStyles count="47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31" builtinId="4"/>
    <cellStyle name="Neutro" xfId="32" builtinId="28" customBuiltin="1"/>
    <cellStyle name="Normal" xfId="0" builtinId="0"/>
    <cellStyle name="Normal 2" xfId="46" xr:uid="{00000000-0005-0000-0000-000021000000}"/>
    <cellStyle name="Nota" xfId="33" builtinId="10" customBuiltin="1"/>
    <cellStyle name="Porcentagem" xfId="34" builtinId="5"/>
    <cellStyle name="Ruim" xfId="30" builtinId="27" customBuiltin="1"/>
    <cellStyle name="Saída" xfId="35" builtinId="21" customBuiltin="1"/>
    <cellStyle name="Texto de Aviso" xfId="37" builtinId="11" customBuiltin="1"/>
    <cellStyle name="Texto Explicativo" xfId="38" builtinId="53" customBuiltin="1"/>
    <cellStyle name="Título 1" xfId="39" builtinId="16" customBuiltin="1"/>
    <cellStyle name="Título 1 1" xfId="40" xr:uid="{00000000-0005-0000-0000-000029000000}"/>
    <cellStyle name="Título 1 1 1" xfId="41" xr:uid="{00000000-0005-0000-0000-00002A000000}"/>
    <cellStyle name="Título 2" xfId="42" builtinId="17" customBuiltin="1"/>
    <cellStyle name="Título 3" xfId="43" builtinId="18" customBuiltin="1"/>
    <cellStyle name="Título 4" xfId="44" builtinId="19" customBuiltin="1"/>
    <cellStyle name="Total" xfId="45" builtinId="25" customBuiltin="1"/>
    <cellStyle name="Vírgula" xfId="3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</xdr:row>
      <xdr:rowOff>0</xdr:rowOff>
    </xdr:from>
    <xdr:to>
      <xdr:col>3</xdr:col>
      <xdr:colOff>723900</xdr:colOff>
      <xdr:row>4</xdr:row>
      <xdr:rowOff>76200</xdr:rowOff>
    </xdr:to>
    <xdr:pic>
      <xdr:nvPicPr>
        <xdr:cNvPr id="4108" name="Imagem 2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7325" y="161925"/>
          <a:ext cx="6953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257175</xdr:colOff>
      <xdr:row>2</xdr:row>
      <xdr:rowOff>0</xdr:rowOff>
    </xdr:from>
    <xdr:to>
      <xdr:col>17</xdr:col>
      <xdr:colOff>114301</xdr:colOff>
      <xdr:row>6</xdr:row>
      <xdr:rowOff>47625</xdr:rowOff>
    </xdr:to>
    <xdr:pic>
      <xdr:nvPicPr>
        <xdr:cNvPr id="5129" name="Imagem 2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21300" y="32385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5"/>
  <sheetViews>
    <sheetView view="pageBreakPreview" zoomScale="75" zoomScaleNormal="75" zoomScaleSheetLayoutView="75" workbookViewId="0">
      <selection activeCell="E8" sqref="E8:J8"/>
    </sheetView>
  </sheetViews>
  <sheetFormatPr defaultRowHeight="12.75" x14ac:dyDescent="0.2"/>
  <cols>
    <col min="1" max="1" width="2.85546875" customWidth="1"/>
    <col min="2" max="2" width="10.7109375" customWidth="1"/>
    <col min="3" max="3" width="18.28515625" customWidth="1"/>
    <col min="4" max="4" width="105.5703125" customWidth="1"/>
    <col min="5" max="5" width="10.42578125" customWidth="1"/>
    <col min="6" max="6" width="14.42578125" style="1" customWidth="1"/>
    <col min="7" max="7" width="12.7109375" style="1" customWidth="1"/>
    <col min="8" max="8" width="14.5703125" style="2" bestFit="1" customWidth="1"/>
    <col min="9" max="9" width="17.28515625" style="2" bestFit="1" customWidth="1"/>
    <col min="10" max="10" width="20.85546875" style="2" customWidth="1"/>
    <col min="11" max="11" width="3.42578125" customWidth="1"/>
    <col min="12" max="12" width="15.28515625" customWidth="1"/>
    <col min="13" max="13" width="14" bestFit="1" customWidth="1"/>
  </cols>
  <sheetData>
    <row r="1" spans="2:13" x14ac:dyDescent="0.2">
      <c r="B1" s="3"/>
      <c r="C1" s="3"/>
      <c r="D1" s="3"/>
      <c r="E1" s="3"/>
      <c r="F1" s="4"/>
      <c r="G1" s="4"/>
      <c r="H1" s="5"/>
      <c r="I1" s="5"/>
      <c r="J1" s="5"/>
    </row>
    <row r="2" spans="2:13" ht="20.25" x14ac:dyDescent="0.3">
      <c r="B2" s="3"/>
      <c r="C2" s="3"/>
      <c r="D2" s="92" t="s">
        <v>37</v>
      </c>
      <c r="E2" s="92"/>
      <c r="F2" s="92"/>
      <c r="G2" s="48"/>
      <c r="H2" s="5"/>
      <c r="I2" s="5"/>
      <c r="J2" s="5"/>
    </row>
    <row r="3" spans="2:13" x14ac:dyDescent="0.2">
      <c r="B3" s="3"/>
      <c r="C3" s="3"/>
      <c r="D3" s="3"/>
      <c r="E3" s="3"/>
      <c r="F3" s="4"/>
      <c r="G3" s="4"/>
      <c r="H3" s="5"/>
      <c r="I3" s="5"/>
      <c r="J3" s="5"/>
    </row>
    <row r="4" spans="2:13" ht="15.75" x14ac:dyDescent="0.25">
      <c r="B4" s="6"/>
      <c r="C4" s="6"/>
      <c r="D4" s="93" t="s">
        <v>38</v>
      </c>
      <c r="E4" s="93"/>
      <c r="F4" s="93"/>
      <c r="G4" s="49"/>
      <c r="H4" s="7"/>
      <c r="I4" s="7"/>
      <c r="J4" s="7"/>
    </row>
    <row r="5" spans="2:13" ht="21" thickBot="1" x14ac:dyDescent="0.25">
      <c r="B5" s="6"/>
      <c r="C5" s="6"/>
      <c r="D5" s="94"/>
      <c r="E5" s="94"/>
      <c r="F5" s="94"/>
      <c r="G5" s="50"/>
      <c r="H5" s="7"/>
      <c r="I5" s="7"/>
      <c r="J5" s="7"/>
    </row>
    <row r="6" spans="2:13" ht="27" customHeight="1" thickBot="1" x14ac:dyDescent="0.25">
      <c r="B6" s="95" t="s">
        <v>126</v>
      </c>
      <c r="C6" s="96"/>
      <c r="D6" s="96"/>
      <c r="E6" s="96"/>
      <c r="F6" s="96"/>
      <c r="G6" s="96"/>
      <c r="H6" s="96"/>
      <c r="I6" s="96"/>
      <c r="J6" s="97"/>
    </row>
    <row r="7" spans="2:13" ht="36.75" customHeight="1" thickTop="1" x14ac:dyDescent="0.25">
      <c r="B7" s="68" t="s">
        <v>62</v>
      </c>
      <c r="C7" s="100" t="s">
        <v>101</v>
      </c>
      <c r="D7" s="101"/>
      <c r="E7" s="98" t="s">
        <v>0</v>
      </c>
      <c r="F7" s="98"/>
      <c r="G7" s="98"/>
      <c r="H7" s="98"/>
      <c r="I7" s="98"/>
      <c r="J7" s="99"/>
    </row>
    <row r="8" spans="2:13" ht="25.9" customHeight="1" x14ac:dyDescent="0.25">
      <c r="B8" s="68" t="s">
        <v>43</v>
      </c>
      <c r="C8" s="65" t="s">
        <v>64</v>
      </c>
      <c r="D8" s="6"/>
      <c r="E8" s="90"/>
      <c r="F8" s="90"/>
      <c r="G8" s="90"/>
      <c r="H8" s="90"/>
      <c r="I8" s="90"/>
      <c r="J8" s="91"/>
      <c r="L8" s="8"/>
    </row>
    <row r="9" spans="2:13" ht="25.9" customHeight="1" x14ac:dyDescent="0.25">
      <c r="B9" s="68" t="s">
        <v>39</v>
      </c>
      <c r="C9" s="37"/>
      <c r="D9" s="6"/>
      <c r="E9" s="90"/>
      <c r="F9" s="90"/>
      <c r="G9" s="90"/>
      <c r="H9" s="90"/>
      <c r="I9" s="90"/>
      <c r="J9" s="91"/>
      <c r="L9" s="9"/>
    </row>
    <row r="10" spans="2:13" ht="25.9" customHeight="1" thickBot="1" x14ac:dyDescent="0.3">
      <c r="B10" s="68" t="s">
        <v>103</v>
      </c>
      <c r="C10" s="37"/>
      <c r="D10" s="10"/>
      <c r="E10" s="103"/>
      <c r="F10" s="103"/>
      <c r="G10" s="103"/>
      <c r="H10" s="103"/>
      <c r="I10" s="103"/>
      <c r="J10" s="104"/>
    </row>
    <row r="11" spans="2:13" ht="33.75" customHeight="1" thickBot="1" x14ac:dyDescent="0.3">
      <c r="B11" s="88" t="s">
        <v>109</v>
      </c>
      <c r="C11" s="89"/>
      <c r="D11" s="69" t="s">
        <v>63</v>
      </c>
      <c r="E11" s="105"/>
      <c r="F11" s="106"/>
      <c r="G11" s="106"/>
      <c r="H11" s="106"/>
      <c r="I11" s="70"/>
      <c r="J11" s="71"/>
    </row>
    <row r="12" spans="2:13" s="53" customFormat="1" ht="39.75" customHeight="1" x14ac:dyDescent="0.2">
      <c r="B12" s="72" t="s">
        <v>1</v>
      </c>
      <c r="C12" s="73" t="s">
        <v>40</v>
      </c>
      <c r="D12" s="73" t="s">
        <v>48</v>
      </c>
      <c r="E12" s="73" t="s">
        <v>2</v>
      </c>
      <c r="F12" s="74" t="s">
        <v>3</v>
      </c>
      <c r="G12" s="75" t="s">
        <v>88</v>
      </c>
      <c r="H12" s="76" t="s">
        <v>89</v>
      </c>
      <c r="I12" s="77" t="s">
        <v>90</v>
      </c>
      <c r="J12" s="78" t="s">
        <v>91</v>
      </c>
    </row>
    <row r="13" spans="2:13" ht="30" customHeight="1" x14ac:dyDescent="0.2">
      <c r="B13" s="79" t="s">
        <v>4</v>
      </c>
      <c r="C13" s="45"/>
      <c r="D13" s="46" t="s">
        <v>49</v>
      </c>
      <c r="E13" s="107" t="s">
        <v>5</v>
      </c>
      <c r="F13" s="108"/>
      <c r="G13" s="108"/>
      <c r="H13" s="108"/>
      <c r="I13" s="55">
        <f>I14</f>
        <v>1364.8</v>
      </c>
      <c r="J13" s="56">
        <f>J14</f>
        <v>1683.9</v>
      </c>
      <c r="L13" s="66">
        <f>ROUND((J13/$J$42)*$L$42,2)</f>
        <v>1200.3499999999999</v>
      </c>
      <c r="M13" s="66">
        <f>ROUND((J13/$J$42)*$M$42,2)</f>
        <v>483.55</v>
      </c>
    </row>
    <row r="14" spans="2:13" s="14" customFormat="1" ht="32.1" customHeight="1" x14ac:dyDescent="0.2">
      <c r="B14" s="80" t="s">
        <v>44</v>
      </c>
      <c r="C14" s="42" t="s">
        <v>104</v>
      </c>
      <c r="D14" s="11" t="s">
        <v>45</v>
      </c>
      <c r="E14" s="12" t="s">
        <v>36</v>
      </c>
      <c r="F14" s="13">
        <v>4</v>
      </c>
      <c r="G14" s="62">
        <v>341.2</v>
      </c>
      <c r="H14" s="54">
        <f>G14*(1+$E$40)</f>
        <v>420.97255999999999</v>
      </c>
      <c r="I14" s="57">
        <f>ROUNDUP($F14*G14,2)</f>
        <v>1364.8</v>
      </c>
      <c r="J14" s="58">
        <f>ROUNDUP($F14*H14,2)</f>
        <v>1683.9</v>
      </c>
    </row>
    <row r="15" spans="2:13" s="14" customFormat="1" ht="32.1" customHeight="1" x14ac:dyDescent="0.2">
      <c r="B15" s="79" t="s">
        <v>47</v>
      </c>
      <c r="C15" s="45"/>
      <c r="D15" s="47" t="s">
        <v>53</v>
      </c>
      <c r="E15" s="107" t="s">
        <v>5</v>
      </c>
      <c r="F15" s="108"/>
      <c r="G15" s="108"/>
      <c r="H15" s="108"/>
      <c r="I15" s="55">
        <f>SUM(I16:I20)</f>
        <v>16945.13</v>
      </c>
      <c r="J15" s="59">
        <f>SUM(J16:J20)</f>
        <v>20906.93</v>
      </c>
      <c r="L15" s="66">
        <f>ROUND((J15/$J$42)*$L$42,2)</f>
        <v>14903.32</v>
      </c>
      <c r="M15" s="66">
        <f>ROUND((J15/$J$42)*$M$42,2)</f>
        <v>6003.61</v>
      </c>
    </row>
    <row r="16" spans="2:13" s="14" customFormat="1" ht="32.1" customHeight="1" x14ac:dyDescent="0.2">
      <c r="B16" s="80" t="s">
        <v>50</v>
      </c>
      <c r="C16" s="42" t="s">
        <v>105</v>
      </c>
      <c r="D16" s="11" t="s">
        <v>58</v>
      </c>
      <c r="E16" s="12" t="s">
        <v>36</v>
      </c>
      <c r="F16" s="13">
        <v>312.3</v>
      </c>
      <c r="G16" s="62">
        <v>27.5</v>
      </c>
      <c r="H16" s="54">
        <f>G16*(1+$E$40)</f>
        <v>33.929499999999997</v>
      </c>
      <c r="I16" s="57">
        <f t="shared" ref="I16:I20" si="0">ROUNDUP($F16*G16,2)</f>
        <v>8588.25</v>
      </c>
      <c r="J16" s="58">
        <f t="shared" ref="J16:J20" si="1">ROUNDUP($F16*H16,2)</f>
        <v>10596.19</v>
      </c>
    </row>
    <row r="17" spans="2:13" s="14" customFormat="1" ht="32.1" customHeight="1" x14ac:dyDescent="0.2">
      <c r="B17" s="80" t="s">
        <v>51</v>
      </c>
      <c r="C17" s="42" t="s">
        <v>106</v>
      </c>
      <c r="D17" s="11" t="s">
        <v>61</v>
      </c>
      <c r="E17" s="12" t="s">
        <v>36</v>
      </c>
      <c r="F17" s="13">
        <v>36</v>
      </c>
      <c r="G17" s="62">
        <v>14.69</v>
      </c>
      <c r="H17" s="54">
        <f>G17*(1+$E$40)</f>
        <v>18.124521999999999</v>
      </c>
      <c r="I17" s="57">
        <f t="shared" si="0"/>
        <v>528.84</v>
      </c>
      <c r="J17" s="58">
        <f t="shared" si="1"/>
        <v>652.49</v>
      </c>
    </row>
    <row r="18" spans="2:13" s="14" customFormat="1" ht="32.1" customHeight="1" x14ac:dyDescent="0.2">
      <c r="B18" s="80" t="s">
        <v>100</v>
      </c>
      <c r="C18" s="42" t="s">
        <v>110</v>
      </c>
      <c r="D18" s="11" t="s">
        <v>111</v>
      </c>
      <c r="E18" s="12" t="s">
        <v>2</v>
      </c>
      <c r="F18" s="13">
        <v>36</v>
      </c>
      <c r="G18" s="62">
        <v>43.58</v>
      </c>
      <c r="H18" s="54">
        <f>G18*(1+$E$40)</f>
        <v>53.769003999999995</v>
      </c>
      <c r="I18" s="57">
        <f t="shared" ref="I18" si="2">ROUNDUP($F18*G18,2)</f>
        <v>1568.88</v>
      </c>
      <c r="J18" s="58">
        <f t="shared" ref="J18" si="3">ROUNDUP($F18*H18,2)</f>
        <v>1935.69</v>
      </c>
    </row>
    <row r="19" spans="2:13" s="14" customFormat="1" ht="32.1" customHeight="1" x14ac:dyDescent="0.2">
      <c r="B19" s="80" t="s">
        <v>65</v>
      </c>
      <c r="C19" s="42" t="s">
        <v>107</v>
      </c>
      <c r="D19" s="11" t="s">
        <v>66</v>
      </c>
      <c r="E19" s="12" t="s">
        <v>2</v>
      </c>
      <c r="F19" s="13">
        <v>6</v>
      </c>
      <c r="G19" s="62">
        <v>90.31</v>
      </c>
      <c r="H19" s="54">
        <f>G19*(1+$E$40)</f>
        <v>111.42447800000001</v>
      </c>
      <c r="I19" s="57">
        <f t="shared" si="0"/>
        <v>541.86</v>
      </c>
      <c r="J19" s="58">
        <f t="shared" si="1"/>
        <v>668.55</v>
      </c>
    </row>
    <row r="20" spans="2:13" s="14" customFormat="1" ht="32.1" customHeight="1" x14ac:dyDescent="0.2">
      <c r="B20" s="80" t="s">
        <v>112</v>
      </c>
      <c r="C20" s="42" t="s">
        <v>108</v>
      </c>
      <c r="D20" s="15" t="s">
        <v>92</v>
      </c>
      <c r="E20" s="12" t="s">
        <v>36</v>
      </c>
      <c r="F20" s="13">
        <v>10</v>
      </c>
      <c r="G20" s="63">
        <v>571.73</v>
      </c>
      <c r="H20" s="54">
        <f>G20*(1+$E$40)</f>
        <v>705.40047400000003</v>
      </c>
      <c r="I20" s="57">
        <f t="shared" si="0"/>
        <v>5717.3</v>
      </c>
      <c r="J20" s="58">
        <f t="shared" si="1"/>
        <v>7054.01</v>
      </c>
    </row>
    <row r="21" spans="2:13" s="14" customFormat="1" ht="32.1" customHeight="1" x14ac:dyDescent="0.2">
      <c r="B21" s="79" t="s">
        <v>52</v>
      </c>
      <c r="C21" s="45"/>
      <c r="D21" s="47" t="s">
        <v>67</v>
      </c>
      <c r="E21" s="107" t="s">
        <v>5</v>
      </c>
      <c r="F21" s="108"/>
      <c r="G21" s="108"/>
      <c r="H21" s="108"/>
      <c r="I21" s="55">
        <f>SUM(I22:I25)</f>
        <v>8381.26</v>
      </c>
      <c r="J21" s="59">
        <f>SUM(J22:J25)</f>
        <v>10340.800000000001</v>
      </c>
      <c r="L21" s="66">
        <f>ROUND((J21/$J$42)*$L$42,2)</f>
        <v>7371.35</v>
      </c>
      <c r="M21" s="66">
        <f>ROUND((J21/$J$42)*$M$42,2)</f>
        <v>2969.45</v>
      </c>
    </row>
    <row r="22" spans="2:13" s="14" customFormat="1" ht="32.1" customHeight="1" x14ac:dyDescent="0.2">
      <c r="B22" s="80" t="s">
        <v>54</v>
      </c>
      <c r="C22" s="42" t="s">
        <v>113</v>
      </c>
      <c r="D22" s="11" t="s">
        <v>96</v>
      </c>
      <c r="E22" s="12" t="s">
        <v>35</v>
      </c>
      <c r="F22" s="13">
        <v>18.41</v>
      </c>
      <c r="G22" s="62">
        <v>47.03</v>
      </c>
      <c r="H22" s="54">
        <f>G22*(1+$E$40)</f>
        <v>58.025614000000004</v>
      </c>
      <c r="I22" s="57">
        <f t="shared" ref="I22:I25" si="4">ROUNDUP($F22*G22,2)</f>
        <v>865.83</v>
      </c>
      <c r="J22" s="58">
        <f t="shared" ref="J22:J25" si="5">ROUNDUP($F22*H22,2)</f>
        <v>1068.26</v>
      </c>
    </row>
    <row r="23" spans="2:13" s="14" customFormat="1" ht="32.1" customHeight="1" x14ac:dyDescent="0.2">
      <c r="B23" s="80" t="s">
        <v>55</v>
      </c>
      <c r="C23" s="42" t="s">
        <v>114</v>
      </c>
      <c r="D23" s="11" t="s">
        <v>97</v>
      </c>
      <c r="E23" s="12" t="s">
        <v>35</v>
      </c>
      <c r="F23" s="13">
        <v>18.41</v>
      </c>
      <c r="G23" s="62">
        <v>259.87</v>
      </c>
      <c r="H23" s="54">
        <f>G23*(1+$E$40)</f>
        <v>320.62760600000001</v>
      </c>
      <c r="I23" s="57">
        <f t="shared" si="4"/>
        <v>4784.21</v>
      </c>
      <c r="J23" s="58">
        <f t="shared" si="5"/>
        <v>5902.76</v>
      </c>
    </row>
    <row r="24" spans="2:13" s="14" customFormat="1" ht="32.1" customHeight="1" x14ac:dyDescent="0.2">
      <c r="B24" s="80" t="s">
        <v>56</v>
      </c>
      <c r="C24" s="42" t="s">
        <v>115</v>
      </c>
      <c r="D24" s="11" t="s">
        <v>59</v>
      </c>
      <c r="E24" s="12" t="s">
        <v>35</v>
      </c>
      <c r="F24" s="13">
        <v>18.41</v>
      </c>
      <c r="G24" s="62">
        <v>126.61</v>
      </c>
      <c r="H24" s="54">
        <f>G24*(1+$E$40)</f>
        <v>156.21141800000001</v>
      </c>
      <c r="I24" s="57">
        <f t="shared" si="4"/>
        <v>2330.9</v>
      </c>
      <c r="J24" s="58">
        <f t="shared" si="5"/>
        <v>2875.86</v>
      </c>
    </row>
    <row r="25" spans="2:13" s="14" customFormat="1" ht="32.1" customHeight="1" x14ac:dyDescent="0.2">
      <c r="B25" s="80" t="s">
        <v>57</v>
      </c>
      <c r="C25" s="42" t="s">
        <v>116</v>
      </c>
      <c r="D25" s="11" t="s">
        <v>60</v>
      </c>
      <c r="E25" s="12" t="s">
        <v>36</v>
      </c>
      <c r="F25" s="13">
        <v>36</v>
      </c>
      <c r="G25" s="62">
        <v>11.12</v>
      </c>
      <c r="H25" s="54">
        <f>G25*(1+$E$40)</f>
        <v>13.719855999999998</v>
      </c>
      <c r="I25" s="57">
        <f t="shared" si="4"/>
        <v>400.32</v>
      </c>
      <c r="J25" s="58">
        <f t="shared" si="5"/>
        <v>493.92</v>
      </c>
    </row>
    <row r="26" spans="2:13" s="14" customFormat="1" ht="32.1" customHeight="1" x14ac:dyDescent="0.2">
      <c r="B26" s="79" t="s">
        <v>68</v>
      </c>
      <c r="C26" s="45"/>
      <c r="D26" s="47" t="s">
        <v>69</v>
      </c>
      <c r="E26" s="107" t="s">
        <v>5</v>
      </c>
      <c r="F26" s="108"/>
      <c r="G26" s="108"/>
      <c r="H26" s="111"/>
      <c r="I26" s="55">
        <f>SUM(I27:I33)</f>
        <v>220116.68</v>
      </c>
      <c r="J26" s="59">
        <f>SUM(J27:J33)</f>
        <v>271579.96999999997</v>
      </c>
      <c r="L26" s="66">
        <f>ROUND((J26/$J$42)*$L$42,2)</f>
        <v>193593.35</v>
      </c>
      <c r="M26" s="66">
        <f>ROUND((J26/$J$42)*$M$42,2)</f>
        <v>77986.62</v>
      </c>
    </row>
    <row r="27" spans="2:13" s="14" customFormat="1" ht="32.1" customHeight="1" x14ac:dyDescent="0.2">
      <c r="B27" s="80" t="s">
        <v>70</v>
      </c>
      <c r="C27" s="42" t="s">
        <v>117</v>
      </c>
      <c r="D27" s="11" t="s">
        <v>79</v>
      </c>
      <c r="E27" s="12" t="s">
        <v>36</v>
      </c>
      <c r="F27" s="13">
        <v>4964</v>
      </c>
      <c r="G27" s="62">
        <v>1.35</v>
      </c>
      <c r="H27" s="54">
        <f t="shared" ref="H27:H33" si="6">G27*(1+$E$40)</f>
        <v>1.6656300000000002</v>
      </c>
      <c r="I27" s="57">
        <f t="shared" ref="I27:I33" si="7">ROUNDUP($F27*G27,2)</f>
        <v>6701.4</v>
      </c>
      <c r="J27" s="58">
        <f t="shared" ref="J27:J33" si="8">ROUNDUP($F27*H27,2)</f>
        <v>8268.19</v>
      </c>
    </row>
    <row r="28" spans="2:13" s="14" customFormat="1" ht="32.1" customHeight="1" x14ac:dyDescent="0.2">
      <c r="B28" s="80" t="s">
        <v>71</v>
      </c>
      <c r="C28" s="42" t="s">
        <v>118</v>
      </c>
      <c r="D28" s="11" t="s">
        <v>94</v>
      </c>
      <c r="E28" s="12" t="s">
        <v>35</v>
      </c>
      <c r="F28" s="13">
        <f>F27*0.1</f>
        <v>496.40000000000003</v>
      </c>
      <c r="G28" s="62">
        <v>116.26</v>
      </c>
      <c r="H28" s="54">
        <f t="shared" si="6"/>
        <v>143.441588</v>
      </c>
      <c r="I28" s="57">
        <f t="shared" si="7"/>
        <v>57711.47</v>
      </c>
      <c r="J28" s="58">
        <f t="shared" si="8"/>
        <v>71204.409999999989</v>
      </c>
    </row>
    <row r="29" spans="2:13" s="14" customFormat="1" ht="32.1" customHeight="1" x14ac:dyDescent="0.2">
      <c r="B29" s="80" t="s">
        <v>72</v>
      </c>
      <c r="C29" s="42" t="s">
        <v>119</v>
      </c>
      <c r="D29" s="11" t="s">
        <v>93</v>
      </c>
      <c r="E29" s="12" t="s">
        <v>36</v>
      </c>
      <c r="F29" s="13">
        <f>F27</f>
        <v>4964</v>
      </c>
      <c r="G29" s="62">
        <v>4.16</v>
      </c>
      <c r="H29" s="54">
        <f t="shared" si="6"/>
        <v>5.1326080000000003</v>
      </c>
      <c r="I29" s="57">
        <f t="shared" si="7"/>
        <v>20650.240000000002</v>
      </c>
      <c r="J29" s="58">
        <f t="shared" si="8"/>
        <v>25478.269999999997</v>
      </c>
    </row>
    <row r="30" spans="2:13" s="14" customFormat="1" ht="32.1" customHeight="1" x14ac:dyDescent="0.2">
      <c r="B30" s="80" t="s">
        <v>73</v>
      </c>
      <c r="C30" s="42" t="s">
        <v>120</v>
      </c>
      <c r="D30" s="11" t="s">
        <v>95</v>
      </c>
      <c r="E30" s="12" t="s">
        <v>78</v>
      </c>
      <c r="F30" s="13">
        <f>F28*20</f>
        <v>9928</v>
      </c>
      <c r="G30" s="62">
        <v>1.1000000000000001</v>
      </c>
      <c r="H30" s="54">
        <f t="shared" si="6"/>
        <v>1.3571800000000001</v>
      </c>
      <c r="I30" s="57">
        <f t="shared" si="7"/>
        <v>10920.8</v>
      </c>
      <c r="J30" s="58">
        <f t="shared" si="8"/>
        <v>13474.09</v>
      </c>
    </row>
    <row r="31" spans="2:13" s="14" customFormat="1" ht="32.1" customHeight="1" x14ac:dyDescent="0.2">
      <c r="B31" s="80" t="s">
        <v>74</v>
      </c>
      <c r="C31" s="42" t="s">
        <v>121</v>
      </c>
      <c r="D31" s="11" t="s">
        <v>80</v>
      </c>
      <c r="E31" s="12" t="s">
        <v>36</v>
      </c>
      <c r="F31" s="13">
        <f>F27</f>
        <v>4964</v>
      </c>
      <c r="G31" s="62">
        <v>1.33</v>
      </c>
      <c r="H31" s="54">
        <f t="shared" si="6"/>
        <v>1.640954</v>
      </c>
      <c r="I31" s="57">
        <f t="shared" si="7"/>
        <v>6602.12</v>
      </c>
      <c r="J31" s="58">
        <f t="shared" si="8"/>
        <v>8145.7</v>
      </c>
    </row>
    <row r="32" spans="2:13" s="14" customFormat="1" ht="32.1" customHeight="1" x14ac:dyDescent="0.2">
      <c r="B32" s="80" t="s">
        <v>75</v>
      </c>
      <c r="C32" s="42" t="s">
        <v>122</v>
      </c>
      <c r="D32" s="11" t="s">
        <v>99</v>
      </c>
      <c r="E32" s="12" t="s">
        <v>35</v>
      </c>
      <c r="F32" s="13">
        <f>F31*0.03</f>
        <v>148.91999999999999</v>
      </c>
      <c r="G32" s="62">
        <v>771.46</v>
      </c>
      <c r="H32" s="54">
        <f t="shared" si="6"/>
        <v>951.82734800000003</v>
      </c>
      <c r="I32" s="57">
        <f t="shared" si="7"/>
        <v>114885.83</v>
      </c>
      <c r="J32" s="58">
        <f t="shared" si="8"/>
        <v>141746.13</v>
      </c>
    </row>
    <row r="33" spans="2:13" s="14" customFormat="1" ht="32.1" customHeight="1" x14ac:dyDescent="0.2">
      <c r="B33" s="80" t="s">
        <v>76</v>
      </c>
      <c r="C33" s="42" t="s">
        <v>123</v>
      </c>
      <c r="D33" s="11" t="s">
        <v>102</v>
      </c>
      <c r="E33" s="12" t="s">
        <v>77</v>
      </c>
      <c r="F33" s="13">
        <f>F32*10*2.4</f>
        <v>3574.0799999999995</v>
      </c>
      <c r="G33" s="62">
        <v>0.74</v>
      </c>
      <c r="H33" s="54">
        <f t="shared" si="6"/>
        <v>0.91301200000000005</v>
      </c>
      <c r="I33" s="57">
        <f t="shared" si="7"/>
        <v>2644.82</v>
      </c>
      <c r="J33" s="58">
        <f t="shared" si="8"/>
        <v>3263.1800000000003</v>
      </c>
    </row>
    <row r="34" spans="2:13" s="14" customFormat="1" ht="32.1" customHeight="1" x14ac:dyDescent="0.2">
      <c r="B34" s="79" t="s">
        <v>81</v>
      </c>
      <c r="C34" s="45"/>
      <c r="D34" s="47" t="s">
        <v>82</v>
      </c>
      <c r="E34" s="107" t="s">
        <v>5</v>
      </c>
      <c r="F34" s="108"/>
      <c r="G34" s="108"/>
      <c r="H34" s="108"/>
      <c r="I34" s="55">
        <f>SUM(I35:I38)</f>
        <v>32724.859999999997</v>
      </c>
      <c r="J34" s="59">
        <f>SUM(J35:J38)</f>
        <v>40375.939999999995</v>
      </c>
      <c r="L34" s="66">
        <f>ROUND((J34/$J$42)*$L$42,2)</f>
        <v>28781.63</v>
      </c>
      <c r="M34" s="66">
        <f>ROUND((J34/$J$42)*$M$42,2)</f>
        <v>11594.31</v>
      </c>
    </row>
    <row r="35" spans="2:13" ht="32.1" customHeight="1" x14ac:dyDescent="0.2">
      <c r="B35" s="80" t="s">
        <v>83</v>
      </c>
      <c r="C35" s="42" t="s">
        <v>124</v>
      </c>
      <c r="D35" s="64" t="s">
        <v>87</v>
      </c>
      <c r="E35" s="12" t="s">
        <v>36</v>
      </c>
      <c r="F35" s="13">
        <v>1141</v>
      </c>
      <c r="G35" s="62">
        <v>4.9000000000000004</v>
      </c>
      <c r="H35" s="54">
        <f>G35*(1+$E$40)</f>
        <v>6.0456200000000004</v>
      </c>
      <c r="I35" s="57">
        <f t="shared" ref="I35:I38" si="9">ROUNDUP($F35*G35,2)</f>
        <v>5590.9</v>
      </c>
      <c r="J35" s="58">
        <f t="shared" ref="J35:J38" si="10">ROUNDUP($F35*H35,2)</f>
        <v>6898.06</v>
      </c>
    </row>
    <row r="36" spans="2:13" ht="32.1" customHeight="1" x14ac:dyDescent="0.2">
      <c r="B36" s="80" t="s">
        <v>84</v>
      </c>
      <c r="C36" s="42" t="s">
        <v>125</v>
      </c>
      <c r="D36" s="64" t="s">
        <v>98</v>
      </c>
      <c r="E36" s="12" t="s">
        <v>35</v>
      </c>
      <c r="F36" s="13">
        <v>34.229999999999997</v>
      </c>
      <c r="G36" s="62">
        <v>184.24</v>
      </c>
      <c r="H36" s="54">
        <f>G36*(1+$E$40)</f>
        <v>227.31531200000001</v>
      </c>
      <c r="I36" s="57">
        <f t="shared" si="9"/>
        <v>6306.54</v>
      </c>
      <c r="J36" s="58">
        <f t="shared" si="10"/>
        <v>7781.01</v>
      </c>
    </row>
    <row r="37" spans="2:13" ht="32.1" customHeight="1" x14ac:dyDescent="0.2">
      <c r="B37" s="80" t="s">
        <v>85</v>
      </c>
      <c r="C37" s="42" t="s">
        <v>114</v>
      </c>
      <c r="D37" s="11" t="s">
        <v>97</v>
      </c>
      <c r="E37" s="12" t="s">
        <v>35</v>
      </c>
      <c r="F37" s="13">
        <v>53.89</v>
      </c>
      <c r="G37" s="62">
        <v>259.87</v>
      </c>
      <c r="H37" s="54">
        <f>G37*(1+$E$40)</f>
        <v>320.62760600000001</v>
      </c>
      <c r="I37" s="57">
        <f t="shared" si="9"/>
        <v>14004.4</v>
      </c>
      <c r="J37" s="58">
        <f t="shared" si="10"/>
        <v>17278.629999999997</v>
      </c>
    </row>
    <row r="38" spans="2:13" ht="32.1" customHeight="1" x14ac:dyDescent="0.2">
      <c r="B38" s="80" t="s">
        <v>86</v>
      </c>
      <c r="C38" s="42" t="s">
        <v>115</v>
      </c>
      <c r="D38" s="11" t="s">
        <v>59</v>
      </c>
      <c r="E38" s="12" t="s">
        <v>35</v>
      </c>
      <c r="F38" s="13">
        <f>F37</f>
        <v>53.89</v>
      </c>
      <c r="G38" s="62">
        <v>126.61</v>
      </c>
      <c r="H38" s="54">
        <f>G38*(1+$E$40)</f>
        <v>156.21141800000001</v>
      </c>
      <c r="I38" s="57">
        <f t="shared" si="9"/>
        <v>6823.02</v>
      </c>
      <c r="J38" s="58">
        <f t="shared" si="10"/>
        <v>8418.24</v>
      </c>
    </row>
    <row r="39" spans="2:13" ht="32.1" customHeight="1" thickBot="1" x14ac:dyDescent="0.25">
      <c r="B39" s="80"/>
      <c r="C39" s="38"/>
      <c r="D39" s="15"/>
      <c r="E39" s="12"/>
      <c r="F39" s="13"/>
      <c r="G39" s="13"/>
      <c r="H39" s="51"/>
      <c r="I39" s="60"/>
      <c r="J39" s="61"/>
    </row>
    <row r="40" spans="2:13" ht="30" customHeight="1" x14ac:dyDescent="0.2">
      <c r="B40" s="81"/>
      <c r="C40" s="39"/>
      <c r="D40" s="43" t="s">
        <v>46</v>
      </c>
      <c r="E40" s="112">
        <v>0.23380000000000001</v>
      </c>
      <c r="F40" s="113"/>
      <c r="G40" s="113"/>
      <c r="H40" s="113"/>
      <c r="I40" s="52"/>
      <c r="J40" s="44"/>
    </row>
    <row r="41" spans="2:13" ht="24.95" customHeight="1" x14ac:dyDescent="0.2">
      <c r="B41" s="82" t="s">
        <v>6</v>
      </c>
      <c r="C41" s="40"/>
      <c r="D41" s="109" t="s">
        <v>7</v>
      </c>
      <c r="E41" s="109"/>
      <c r="F41" s="109"/>
      <c r="G41" s="109"/>
      <c r="H41" s="109"/>
      <c r="I41" s="109"/>
      <c r="J41" s="110"/>
    </row>
    <row r="42" spans="2:13" ht="24.95" customHeight="1" thickBot="1" x14ac:dyDescent="0.3">
      <c r="B42" s="83"/>
      <c r="C42" s="84"/>
      <c r="D42" s="85" t="s">
        <v>8</v>
      </c>
      <c r="E42" s="102"/>
      <c r="F42" s="102"/>
      <c r="G42" s="102"/>
      <c r="H42" s="102"/>
      <c r="I42" s="86">
        <f>SUM(I13:I38)/2</f>
        <v>279532.7300000001</v>
      </c>
      <c r="J42" s="87">
        <f>SUM(J13:J38)/2</f>
        <v>344887.54000000004</v>
      </c>
      <c r="L42" s="66">
        <v>245850</v>
      </c>
      <c r="M42" s="67">
        <f>J42-L42</f>
        <v>99037.540000000037</v>
      </c>
    </row>
    <row r="45" spans="2:13" ht="22.9" customHeight="1" x14ac:dyDescent="0.2"/>
  </sheetData>
  <mergeCells count="19">
    <mergeCell ref="E42:H42"/>
    <mergeCell ref="E9:J9"/>
    <mergeCell ref="E10:J10"/>
    <mergeCell ref="E11:H11"/>
    <mergeCell ref="E21:H21"/>
    <mergeCell ref="D41:J41"/>
    <mergeCell ref="E13:H13"/>
    <mergeCell ref="E15:H15"/>
    <mergeCell ref="E26:H26"/>
    <mergeCell ref="E34:H34"/>
    <mergeCell ref="E40:H40"/>
    <mergeCell ref="B11:C11"/>
    <mergeCell ref="E8:J8"/>
    <mergeCell ref="D2:F2"/>
    <mergeCell ref="D4:F4"/>
    <mergeCell ref="D5:F5"/>
    <mergeCell ref="B6:J6"/>
    <mergeCell ref="E7:J7"/>
    <mergeCell ref="C7:D7"/>
  </mergeCells>
  <pageMargins left="0.39370078740157483" right="0.27559055118110237" top="0.39370078740157483" bottom="0.19685039370078741" header="0.51181102362204722" footer="0.51181102362204722"/>
  <pageSetup paperSize="9" scale="42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39"/>
  <sheetViews>
    <sheetView tabSelected="1" view="pageBreakPreview" zoomScale="85" zoomScaleSheetLayoutView="85" workbookViewId="0">
      <selection activeCell="A9" sqref="A9:R9"/>
    </sheetView>
  </sheetViews>
  <sheetFormatPr defaultColWidth="8.28515625" defaultRowHeight="12.75" x14ac:dyDescent="0.2"/>
  <cols>
    <col min="1" max="1" width="7.42578125" customWidth="1"/>
    <col min="2" max="2" width="10.7109375" customWidth="1"/>
    <col min="3" max="3" width="19" customWidth="1"/>
    <col min="4" max="4" width="12.42578125" customWidth="1"/>
    <col min="5" max="5" width="9.28515625" customWidth="1"/>
    <col min="6" max="6" width="9" customWidth="1"/>
    <col min="7" max="7" width="9.28515625" customWidth="1"/>
    <col min="8" max="10" width="9" customWidth="1"/>
    <col min="11" max="11" width="9.28515625" customWidth="1"/>
    <col min="12" max="16" width="9" customWidth="1"/>
    <col min="17" max="17" width="14" style="2" customWidth="1"/>
    <col min="18" max="18" width="10.140625" customWidth="1"/>
  </cols>
  <sheetData>
    <row r="2" spans="1:18" ht="12.75" customHeight="1" x14ac:dyDescent="0.3">
      <c r="H2" s="16"/>
      <c r="I2" s="16"/>
      <c r="J2" s="16"/>
      <c r="K2" s="16"/>
      <c r="L2" s="16"/>
      <c r="M2" s="16"/>
      <c r="N2" s="16"/>
      <c r="O2" s="16"/>
      <c r="P2" s="16"/>
    </row>
    <row r="3" spans="1:18" ht="19.5" customHeight="1" x14ac:dyDescent="0.2">
      <c r="B3" s="119" t="s">
        <v>37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5" spans="1:18" ht="12.75" customHeight="1" x14ac:dyDescent="0.2">
      <c r="A5" s="119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8" ht="12.75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9" spans="1:18" ht="18.75" thickBot="1" x14ac:dyDescent="0.25">
      <c r="A9" s="144" t="s">
        <v>127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x14ac:dyDescent="0.2">
      <c r="A10" s="145" t="s">
        <v>9</v>
      </c>
      <c r="B10" s="145"/>
      <c r="C10" s="146" t="s">
        <v>41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7" t="s">
        <v>10</v>
      </c>
      <c r="R10" s="18"/>
    </row>
    <row r="11" spans="1:18" ht="14.65" customHeight="1" x14ac:dyDescent="0.2">
      <c r="A11" s="147" t="s">
        <v>11</v>
      </c>
      <c r="B11" s="147"/>
      <c r="C11" s="136" t="str">
        <f>Orçamento!C8</f>
        <v>Rua Mario Valim, Rua José Mariano Santos, Rua Pilade Zoldan, Rua Bertolino Dutra do Nascimento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48"/>
      <c r="R11" s="148"/>
    </row>
    <row r="12" spans="1:18" x14ac:dyDescent="0.2">
      <c r="A12" s="149" t="s">
        <v>12</v>
      </c>
      <c r="B12" s="149"/>
      <c r="C12" s="136" t="str">
        <f>Orçamento!C7</f>
        <v>Pavimentação Asfáltica (com regularização de subleito, sub-base, base e imprimação), Sinalização Horizontal, Sinalização Vertical e Calçadas Acessibilidade NBR 9050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48"/>
      <c r="R12" s="148"/>
    </row>
    <row r="13" spans="1:18" ht="13.5" thickBot="1" x14ac:dyDescent="0.25">
      <c r="A13" s="123" t="s">
        <v>13</v>
      </c>
      <c r="B13" s="123"/>
      <c r="C13" s="136" t="s">
        <v>42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20" t="str">
        <f>Orçamento!B10</f>
        <v>DATA  : 11/04/2018</v>
      </c>
      <c r="R13" s="121"/>
    </row>
    <row r="14" spans="1:18" ht="13.5" thickBot="1" x14ac:dyDescent="0.2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ht="23.25" customHeight="1" thickBot="1" x14ac:dyDescent="0.25">
      <c r="A15" s="138" t="s">
        <v>14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</row>
    <row r="16" spans="1:18" ht="24.95" customHeight="1" thickBot="1" x14ac:dyDescent="0.25">
      <c r="A16" s="139" t="s">
        <v>1</v>
      </c>
      <c r="B16" s="140" t="s">
        <v>15</v>
      </c>
      <c r="C16" s="140"/>
      <c r="D16" s="140"/>
      <c r="E16" s="141" t="s">
        <v>14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</row>
    <row r="17" spans="1:18" ht="24.95" customHeight="1" thickBot="1" x14ac:dyDescent="0.25">
      <c r="A17" s="139"/>
      <c r="B17" s="142" t="s">
        <v>16</v>
      </c>
      <c r="C17" s="142"/>
      <c r="D17" s="142"/>
      <c r="E17" s="122" t="s">
        <v>17</v>
      </c>
      <c r="F17" s="122"/>
      <c r="G17" s="122" t="s">
        <v>18</v>
      </c>
      <c r="H17" s="122"/>
      <c r="I17" s="122" t="s">
        <v>19</v>
      </c>
      <c r="J17" s="122"/>
      <c r="K17" s="122" t="s">
        <v>20</v>
      </c>
      <c r="L17" s="122"/>
      <c r="M17" s="122" t="s">
        <v>21</v>
      </c>
      <c r="N17" s="122"/>
      <c r="O17" s="122" t="s">
        <v>22</v>
      </c>
      <c r="P17" s="122"/>
      <c r="Q17" s="19" t="s">
        <v>23</v>
      </c>
      <c r="R17" s="20" t="s">
        <v>24</v>
      </c>
    </row>
    <row r="18" spans="1:18" ht="24.95" customHeight="1" x14ac:dyDescent="0.2">
      <c r="A18" s="139"/>
      <c r="B18" s="143" t="s">
        <v>25</v>
      </c>
      <c r="C18" s="143"/>
      <c r="D18" s="143"/>
      <c r="E18" s="21" t="s">
        <v>26</v>
      </c>
      <c r="F18" s="21" t="s">
        <v>27</v>
      </c>
      <c r="G18" s="21" t="s">
        <v>26</v>
      </c>
      <c r="H18" s="21" t="s">
        <v>27</v>
      </c>
      <c r="I18" s="21" t="s">
        <v>26</v>
      </c>
      <c r="J18" s="21" t="s">
        <v>27</v>
      </c>
      <c r="K18" s="21" t="s">
        <v>26</v>
      </c>
      <c r="L18" s="21" t="s">
        <v>27</v>
      </c>
      <c r="M18" s="21" t="s">
        <v>26</v>
      </c>
      <c r="N18" s="21" t="s">
        <v>27</v>
      </c>
      <c r="O18" s="21" t="s">
        <v>26</v>
      </c>
      <c r="P18" s="21" t="s">
        <v>27</v>
      </c>
      <c r="Q18" s="22" t="s">
        <v>28</v>
      </c>
      <c r="R18" s="23" t="s">
        <v>29</v>
      </c>
    </row>
    <row r="19" spans="1:18" ht="24.95" customHeight="1" x14ac:dyDescent="0.2">
      <c r="A19" s="114" t="str">
        <f>Orçamento!B13</f>
        <v>1.0</v>
      </c>
      <c r="B19" s="116" t="str">
        <f>Orçamento!D13</f>
        <v>PLACA DA OBRA</v>
      </c>
      <c r="C19" s="116"/>
      <c r="D19" s="24" t="s">
        <v>30</v>
      </c>
      <c r="E19" s="25">
        <f>100</f>
        <v>100</v>
      </c>
      <c r="F19" s="26">
        <f>E19</f>
        <v>100</v>
      </c>
      <c r="G19" s="25"/>
      <c r="H19" s="26">
        <f>F19+G19</f>
        <v>100</v>
      </c>
      <c r="I19" s="25"/>
      <c r="J19" s="26">
        <f>H19+I19</f>
        <v>100</v>
      </c>
      <c r="K19" s="25"/>
      <c r="L19" s="26">
        <f>J19+K19</f>
        <v>100</v>
      </c>
      <c r="M19" s="25"/>
      <c r="N19" s="26">
        <f>L19+M19</f>
        <v>100</v>
      </c>
      <c r="O19" s="25"/>
      <c r="P19" s="26">
        <f>N19+O19</f>
        <v>100</v>
      </c>
      <c r="Q19" s="117">
        <f>Orçamento!J13</f>
        <v>1683.9</v>
      </c>
      <c r="R19" s="118">
        <f>Q19*100/$Q$31</f>
        <v>0.48824611060173417</v>
      </c>
    </row>
    <row r="20" spans="1:18" ht="24.95" customHeight="1" x14ac:dyDescent="0.2">
      <c r="A20" s="115"/>
      <c r="B20" s="116"/>
      <c r="C20" s="116"/>
      <c r="D20" s="27" t="s">
        <v>31</v>
      </c>
      <c r="E20" s="25">
        <f>E19*$Q19/100</f>
        <v>1683.9</v>
      </c>
      <c r="F20" s="28"/>
      <c r="G20" s="25">
        <f>G19*$Q19/100</f>
        <v>0</v>
      </c>
      <c r="H20" s="28"/>
      <c r="I20" s="25">
        <f>I19*$Q19/100</f>
        <v>0</v>
      </c>
      <c r="J20" s="28"/>
      <c r="K20" s="25">
        <f>K19*$Q19/100</f>
        <v>0</v>
      </c>
      <c r="L20" s="28"/>
      <c r="M20" s="25">
        <f>M19*$Q19/100</f>
        <v>0</v>
      </c>
      <c r="N20" s="28"/>
      <c r="O20" s="25">
        <f>O19*$Q19/100</f>
        <v>0</v>
      </c>
      <c r="P20" s="28"/>
      <c r="Q20" s="117"/>
      <c r="R20" s="118" t="e">
        <f>Q20*100/Q32</f>
        <v>#VALUE!</v>
      </c>
    </row>
    <row r="21" spans="1:18" ht="24.95" customHeight="1" x14ac:dyDescent="0.2">
      <c r="A21" s="114" t="str">
        <f>Orçamento!B15</f>
        <v>2.0</v>
      </c>
      <c r="B21" s="116" t="str">
        <f>Orçamento!D15</f>
        <v>SINALIZAÇÃO</v>
      </c>
      <c r="C21" s="116"/>
      <c r="D21" s="24" t="s">
        <v>30</v>
      </c>
      <c r="E21" s="25"/>
      <c r="F21" s="26">
        <f>E21</f>
        <v>0</v>
      </c>
      <c r="G21" s="25">
        <v>100</v>
      </c>
      <c r="H21" s="26">
        <f>F21+G21</f>
        <v>100</v>
      </c>
      <c r="I21" s="25"/>
      <c r="J21" s="26">
        <f>H21+I21</f>
        <v>100</v>
      </c>
      <c r="K21" s="25"/>
      <c r="L21" s="26">
        <f>J21+K21</f>
        <v>100</v>
      </c>
      <c r="M21" s="25"/>
      <c r="N21" s="26">
        <f>L21+M21</f>
        <v>100</v>
      </c>
      <c r="O21" s="25"/>
      <c r="P21" s="26">
        <f>N21+O21</f>
        <v>100</v>
      </c>
      <c r="Q21" s="117">
        <f>Orçamento!J15</f>
        <v>20906.93</v>
      </c>
      <c r="R21" s="118">
        <f>Q21*100/$Q$31</f>
        <v>6.0619557320046997</v>
      </c>
    </row>
    <row r="22" spans="1:18" ht="24.95" customHeight="1" x14ac:dyDescent="0.2">
      <c r="A22" s="115"/>
      <c r="B22" s="116"/>
      <c r="C22" s="116"/>
      <c r="D22" s="27" t="s">
        <v>31</v>
      </c>
      <c r="E22" s="25">
        <f>E21*$Q21/100</f>
        <v>0</v>
      </c>
      <c r="F22" s="28"/>
      <c r="G22" s="25">
        <f>G21*$Q21/100</f>
        <v>20906.93</v>
      </c>
      <c r="H22" s="28"/>
      <c r="I22" s="25">
        <f>I21*$Q21/100</f>
        <v>0</v>
      </c>
      <c r="J22" s="28"/>
      <c r="K22" s="25">
        <f>K21*$Q21/100</f>
        <v>0</v>
      </c>
      <c r="L22" s="28"/>
      <c r="M22" s="25">
        <f>M21*$Q21/100</f>
        <v>0</v>
      </c>
      <c r="N22" s="28"/>
      <c r="O22" s="25">
        <f>O21*$Q21/100</f>
        <v>0</v>
      </c>
      <c r="P22" s="28"/>
      <c r="Q22" s="117"/>
      <c r="R22" s="118" t="e">
        <f>Q22*100/Q34</f>
        <v>#DIV/0!</v>
      </c>
    </row>
    <row r="23" spans="1:18" ht="24.95" customHeight="1" x14ac:dyDescent="0.2">
      <c r="A23" s="114" t="str">
        <f>Orçamento!B21</f>
        <v>3.0</v>
      </c>
      <c r="B23" s="116" t="str">
        <f>Orçamento!D21</f>
        <v>ACESSIBILIDADE</v>
      </c>
      <c r="C23" s="116"/>
      <c r="D23" s="24" t="s">
        <v>30</v>
      </c>
      <c r="E23" s="25"/>
      <c r="F23" s="26">
        <f>E23</f>
        <v>0</v>
      </c>
      <c r="G23" s="25">
        <v>100</v>
      </c>
      <c r="H23" s="26">
        <f>F23+G23</f>
        <v>100</v>
      </c>
      <c r="I23" s="25"/>
      <c r="J23" s="26">
        <f>H23+I23</f>
        <v>100</v>
      </c>
      <c r="K23" s="25"/>
      <c r="L23" s="26">
        <f>J23+K23</f>
        <v>100</v>
      </c>
      <c r="M23" s="25"/>
      <c r="N23" s="26">
        <f>L23+M23</f>
        <v>100</v>
      </c>
      <c r="O23" s="25"/>
      <c r="P23" s="26">
        <f>N23+O23</f>
        <v>100</v>
      </c>
      <c r="Q23" s="117">
        <f>Orçamento!J21</f>
        <v>10340.800000000001</v>
      </c>
      <c r="R23" s="118">
        <f>Q23*100/$Q$31</f>
        <v>2.9983106957125796</v>
      </c>
    </row>
    <row r="24" spans="1:18" ht="24.95" customHeight="1" x14ac:dyDescent="0.2">
      <c r="A24" s="115"/>
      <c r="B24" s="116"/>
      <c r="C24" s="116"/>
      <c r="D24" s="27" t="s">
        <v>31</v>
      </c>
      <c r="E24" s="25">
        <f>E23*$Q23/100</f>
        <v>0</v>
      </c>
      <c r="F24" s="28"/>
      <c r="G24" s="25">
        <f>G23*$Q23/100</f>
        <v>10340.800000000001</v>
      </c>
      <c r="H24" s="28"/>
      <c r="I24" s="25">
        <f>I23*$Q23/100</f>
        <v>0</v>
      </c>
      <c r="J24" s="28"/>
      <c r="K24" s="25">
        <f>K23*$Q23/100</f>
        <v>0</v>
      </c>
      <c r="L24" s="28"/>
      <c r="M24" s="25">
        <f>M23*$Q23/100</f>
        <v>0</v>
      </c>
      <c r="N24" s="28"/>
      <c r="O24" s="25">
        <f>O23*$Q23/100</f>
        <v>0</v>
      </c>
      <c r="P24" s="28"/>
      <c r="Q24" s="117"/>
      <c r="R24" s="118" t="e">
        <f>Q24*100/Q36</f>
        <v>#DIV/0!</v>
      </c>
    </row>
    <row r="25" spans="1:18" ht="24.95" customHeight="1" x14ac:dyDescent="0.2">
      <c r="A25" s="114" t="str">
        <f>Orçamento!B26</f>
        <v>4.0</v>
      </c>
      <c r="B25" s="116" t="str">
        <f>Orçamento!D26</f>
        <v xml:space="preserve"> PAVIMENTAÇÃO ASFÁLTICA</v>
      </c>
      <c r="C25" s="116"/>
      <c r="D25" s="24" t="s">
        <v>30</v>
      </c>
      <c r="E25" s="25">
        <v>71.905661560386818</v>
      </c>
      <c r="F25" s="26">
        <f>E25</f>
        <v>71.905661560386818</v>
      </c>
      <c r="G25" s="25">
        <f>100-E25</f>
        <v>28.094338439613182</v>
      </c>
      <c r="H25" s="26">
        <f>F25+G25</f>
        <v>100</v>
      </c>
      <c r="I25" s="25"/>
      <c r="J25" s="26">
        <f>H25+I25</f>
        <v>100</v>
      </c>
      <c r="K25" s="25"/>
      <c r="L25" s="26">
        <f>J25+K25</f>
        <v>100</v>
      </c>
      <c r="M25" s="25"/>
      <c r="N25" s="26">
        <f>L25+M25</f>
        <v>100</v>
      </c>
      <c r="O25" s="25"/>
      <c r="P25" s="26">
        <f>N25+O25</f>
        <v>100</v>
      </c>
      <c r="Q25" s="117">
        <f>Orçamento!J26</f>
        <v>271579.96999999997</v>
      </c>
      <c r="R25" s="118">
        <f>Q25*100/$Q$31</f>
        <v>78.74450030870932</v>
      </c>
    </row>
    <row r="26" spans="1:18" ht="24.95" customHeight="1" x14ac:dyDescent="0.2">
      <c r="A26" s="115"/>
      <c r="B26" s="116"/>
      <c r="C26" s="116"/>
      <c r="D26" s="27" t="s">
        <v>31</v>
      </c>
      <c r="E26" s="25">
        <f>E25*$Q25/100</f>
        <v>195281.37409400006</v>
      </c>
      <c r="F26" s="28"/>
      <c r="G26" s="25">
        <f>G25*$Q25/100</f>
        <v>76298.595905999944</v>
      </c>
      <c r="H26" s="28"/>
      <c r="I26" s="25">
        <f>I25*$Q25/100</f>
        <v>0</v>
      </c>
      <c r="J26" s="28"/>
      <c r="K26" s="25">
        <f>K25*$Q25/100</f>
        <v>0</v>
      </c>
      <c r="L26" s="28"/>
      <c r="M26" s="25">
        <f>M25*$Q25/100</f>
        <v>0</v>
      </c>
      <c r="N26" s="28"/>
      <c r="O26" s="25">
        <f>O25*$Q25/100</f>
        <v>0</v>
      </c>
      <c r="P26" s="28"/>
      <c r="Q26" s="117"/>
      <c r="R26" s="118" t="e">
        <f>Q26*100/Q38</f>
        <v>#DIV/0!</v>
      </c>
    </row>
    <row r="27" spans="1:18" ht="24.95" customHeight="1" x14ac:dyDescent="0.2">
      <c r="A27" s="114" t="str">
        <f>Orçamento!B34</f>
        <v>5.0</v>
      </c>
      <c r="B27" s="116" t="str">
        <f>Orçamento!D34</f>
        <v>CALÇADA</v>
      </c>
      <c r="C27" s="116"/>
      <c r="D27" s="24" t="s">
        <v>30</v>
      </c>
      <c r="E27" s="25"/>
      <c r="F27" s="26">
        <f>E27</f>
        <v>0</v>
      </c>
      <c r="G27" s="25">
        <v>100</v>
      </c>
      <c r="H27" s="26">
        <f>F27+G27</f>
        <v>100</v>
      </c>
      <c r="I27" s="25"/>
      <c r="J27" s="26">
        <f>H27+I27</f>
        <v>100</v>
      </c>
      <c r="K27" s="25"/>
      <c r="L27" s="26">
        <f>J27+K27</f>
        <v>100</v>
      </c>
      <c r="M27" s="25"/>
      <c r="N27" s="26">
        <f>L27+M27</f>
        <v>100</v>
      </c>
      <c r="O27" s="25"/>
      <c r="P27" s="26">
        <f>N27+O27</f>
        <v>100</v>
      </c>
      <c r="Q27" s="117">
        <f>Orçamento!J34</f>
        <v>40375.939999999995</v>
      </c>
      <c r="R27" s="118">
        <f>Q27*100/$Q$31</f>
        <v>11.70698715297166</v>
      </c>
    </row>
    <row r="28" spans="1:18" ht="24.95" customHeight="1" x14ac:dyDescent="0.2">
      <c r="A28" s="115"/>
      <c r="B28" s="116"/>
      <c r="C28" s="116"/>
      <c r="D28" s="27" t="s">
        <v>31</v>
      </c>
      <c r="E28" s="25">
        <f>E27*$Q27/100</f>
        <v>0</v>
      </c>
      <c r="F28" s="28"/>
      <c r="G28" s="25">
        <f>G27*$Q27/100</f>
        <v>40375.939999999995</v>
      </c>
      <c r="H28" s="28"/>
      <c r="I28" s="25">
        <f>I27*$Q27/100</f>
        <v>0</v>
      </c>
      <c r="J28" s="28"/>
      <c r="K28" s="25">
        <f>K27*$Q27/100</f>
        <v>0</v>
      </c>
      <c r="L28" s="28"/>
      <c r="M28" s="25">
        <f>M27*$Q27/100</f>
        <v>0</v>
      </c>
      <c r="N28" s="28"/>
      <c r="O28" s="25">
        <f>O27*$Q27/100</f>
        <v>0</v>
      </c>
      <c r="P28" s="28"/>
      <c r="Q28" s="117"/>
      <c r="R28" s="118" t="e">
        <f>Q28*100/Q40</f>
        <v>#DIV/0!</v>
      </c>
    </row>
    <row r="29" spans="1:18" ht="24.95" hidden="1" customHeight="1" x14ac:dyDescent="0.2">
      <c r="A29" s="114"/>
      <c r="B29" s="129"/>
      <c r="C29" s="130"/>
      <c r="D29" s="24" t="s">
        <v>30</v>
      </c>
      <c r="E29" s="25"/>
      <c r="F29" s="26">
        <f>E29</f>
        <v>0</v>
      </c>
      <c r="G29" s="25"/>
      <c r="H29" s="26">
        <f>F29+G29</f>
        <v>0</v>
      </c>
      <c r="I29" s="25"/>
      <c r="J29" s="26">
        <f>H29+I29</f>
        <v>0</v>
      </c>
      <c r="K29" s="25"/>
      <c r="L29" s="26">
        <f>J29+K29</f>
        <v>0</v>
      </c>
      <c r="M29" s="25"/>
      <c r="N29" s="26">
        <f>L29+M29</f>
        <v>0</v>
      </c>
      <c r="O29" s="25"/>
      <c r="P29" s="26">
        <f>N29+O29</f>
        <v>0</v>
      </c>
      <c r="Q29" s="127"/>
      <c r="R29" s="41">
        <f>Q29*100/$Q$31</f>
        <v>0</v>
      </c>
    </row>
    <row r="30" spans="1:18" ht="24.95" hidden="1" customHeight="1" x14ac:dyDescent="0.2">
      <c r="A30" s="115"/>
      <c r="B30" s="131"/>
      <c r="C30" s="132"/>
      <c r="D30" s="27" t="s">
        <v>31</v>
      </c>
      <c r="E30" s="25">
        <f>E29*$Q29/100</f>
        <v>0</v>
      </c>
      <c r="F30" s="28"/>
      <c r="G30" s="25">
        <f>G29*$Q29/100</f>
        <v>0</v>
      </c>
      <c r="H30" s="28"/>
      <c r="I30" s="25">
        <f>I29*$Q29/100</f>
        <v>0</v>
      </c>
      <c r="J30" s="28"/>
      <c r="K30" s="25">
        <f>K29*$Q29/100</f>
        <v>0</v>
      </c>
      <c r="L30" s="28"/>
      <c r="M30" s="25">
        <f>M29*$Q29/100</f>
        <v>0</v>
      </c>
      <c r="N30" s="28"/>
      <c r="O30" s="25">
        <f>O29*$Q29/100</f>
        <v>0</v>
      </c>
      <c r="P30" s="28"/>
      <c r="Q30" s="128"/>
      <c r="R30" s="41" t="e">
        <f>Q30*100/Q38</f>
        <v>#DIV/0!</v>
      </c>
    </row>
    <row r="31" spans="1:18" ht="24.95" customHeight="1" x14ac:dyDescent="0.2">
      <c r="A31" s="124" t="s">
        <v>32</v>
      </c>
      <c r="B31" s="124"/>
      <c r="C31" s="124"/>
      <c r="D31" s="29"/>
      <c r="E31" s="30">
        <f>SUMIFS(E$19:E$30,$D$19:$D$30,"Financeiro")</f>
        <v>196965.27409400005</v>
      </c>
      <c r="F31" s="31">
        <f>E31*100/$Q31</f>
        <v>57.110000000000021</v>
      </c>
      <c r="G31" s="30">
        <f>SUMIFS(G$19:G$30,$D$19:$D$30,"Financeiro")</f>
        <v>147922.26590599996</v>
      </c>
      <c r="H31" s="31">
        <f>G31*100/$Q31</f>
        <v>42.889999999999986</v>
      </c>
      <c r="I31" s="30">
        <f>SUMIFS(I$19:I$30,$D$19:$D$30,"Financeiro")</f>
        <v>0</v>
      </c>
      <c r="J31" s="31">
        <f>I31*100/$Q31</f>
        <v>0</v>
      </c>
      <c r="K31" s="30">
        <f>SUMIFS(K$19:K$30,$D$19:$D$30,"Financeiro")</f>
        <v>0</v>
      </c>
      <c r="L31" s="31">
        <f>K31*100/$Q31</f>
        <v>0</v>
      </c>
      <c r="M31" s="30">
        <f>SUMIFS(M$19:M$30,$D$19:$D$30,"Financeiro")</f>
        <v>0</v>
      </c>
      <c r="N31" s="31">
        <f>M31*100/$Q31</f>
        <v>0</v>
      </c>
      <c r="O31" s="30">
        <f>SUMIFS(O$19:O$30,$D$19:$D$30,"Financeiro")</f>
        <v>0</v>
      </c>
      <c r="P31" s="31">
        <f>O31*100/$Q31</f>
        <v>0</v>
      </c>
      <c r="Q31" s="32">
        <f>SUM(Q19:Q30)</f>
        <v>344887.54</v>
      </c>
      <c r="R31" s="32">
        <f>R19+R21+R23+R25+R27</f>
        <v>100</v>
      </c>
    </row>
    <row r="32" spans="1:18" ht="24.95" customHeight="1" thickBot="1" x14ac:dyDescent="0.25">
      <c r="A32" s="124" t="s">
        <v>33</v>
      </c>
      <c r="B32" s="124"/>
      <c r="C32" s="124"/>
      <c r="D32" s="33"/>
      <c r="E32" s="126">
        <f>E31</f>
        <v>196965.27409400005</v>
      </c>
      <c r="F32" s="126"/>
      <c r="G32" s="126">
        <f>G31</f>
        <v>147922.26590599996</v>
      </c>
      <c r="H32" s="126"/>
      <c r="I32" s="126">
        <f>I31</f>
        <v>0</v>
      </c>
      <c r="J32" s="126"/>
      <c r="K32" s="126">
        <f>K31</f>
        <v>0</v>
      </c>
      <c r="L32" s="126"/>
      <c r="M32" s="126">
        <f>M31</f>
        <v>0</v>
      </c>
      <c r="N32" s="126"/>
      <c r="O32" s="126">
        <f>O31</f>
        <v>0</v>
      </c>
      <c r="P32" s="126"/>
      <c r="Q32" s="34" t="s">
        <v>29</v>
      </c>
      <c r="R32" s="133"/>
    </row>
    <row r="33" spans="1:18" ht="24.95" customHeight="1" thickBot="1" x14ac:dyDescent="0.25">
      <c r="A33" s="134" t="s">
        <v>34</v>
      </c>
      <c r="B33" s="134"/>
      <c r="C33" s="134"/>
      <c r="D33" s="35"/>
      <c r="E33" s="135">
        <f>ROUNDUP(E32,2)</f>
        <v>196965.28</v>
      </c>
      <c r="F33" s="135"/>
      <c r="G33" s="135">
        <f>G32+E33</f>
        <v>344887.54590599996</v>
      </c>
      <c r="H33" s="135"/>
      <c r="I33" s="135">
        <f>I32+G33</f>
        <v>344887.54590599996</v>
      </c>
      <c r="J33" s="135"/>
      <c r="K33" s="135">
        <f>K32+I33</f>
        <v>344887.54590599996</v>
      </c>
      <c r="L33" s="135"/>
      <c r="M33" s="135">
        <f>M32+K33</f>
        <v>344887.54590599996</v>
      </c>
      <c r="N33" s="135"/>
      <c r="O33" s="135">
        <f>O32+M33</f>
        <v>344887.54590599996</v>
      </c>
      <c r="P33" s="135"/>
      <c r="Q33" s="36">
        <f>O33/Q31</f>
        <v>1.0000000171244225</v>
      </c>
      <c r="R33" s="133"/>
    </row>
    <row r="35" spans="1:18" x14ac:dyDescent="0.2">
      <c r="H35" s="125"/>
      <c r="I35" s="125"/>
      <c r="J35" s="125"/>
      <c r="K35" s="125"/>
      <c r="L35" s="125"/>
      <c r="M35" s="125"/>
      <c r="N35" s="125"/>
      <c r="O35" s="125"/>
      <c r="P35" s="125"/>
    </row>
    <row r="36" spans="1:18" x14ac:dyDescent="0.2">
      <c r="H36" s="125"/>
      <c r="I36" s="125"/>
      <c r="J36" s="125"/>
      <c r="K36" s="125"/>
      <c r="L36" s="125"/>
      <c r="M36" s="125"/>
      <c r="N36" s="125"/>
      <c r="O36" s="125"/>
      <c r="P36" s="125"/>
    </row>
    <row r="39" spans="1:18" ht="18.75" x14ac:dyDescent="0.3">
      <c r="H39" s="16"/>
      <c r="I39" s="16"/>
      <c r="J39" s="16"/>
      <c r="K39" s="16"/>
      <c r="L39" s="16"/>
      <c r="M39" s="16"/>
      <c r="N39" s="16"/>
      <c r="O39" s="16"/>
      <c r="P39" s="16"/>
    </row>
  </sheetData>
  <mergeCells count="66">
    <mergeCell ref="A5:P6"/>
    <mergeCell ref="A9:R9"/>
    <mergeCell ref="A10:B10"/>
    <mergeCell ref="C10:P10"/>
    <mergeCell ref="A11:B11"/>
    <mergeCell ref="C11:P11"/>
    <mergeCell ref="Q11:R12"/>
    <mergeCell ref="A12:B12"/>
    <mergeCell ref="C12:P12"/>
    <mergeCell ref="C13:P13"/>
    <mergeCell ref="A14:R14"/>
    <mergeCell ref="A15:R15"/>
    <mergeCell ref="A16:A18"/>
    <mergeCell ref="B16:D16"/>
    <mergeCell ref="E16:R16"/>
    <mergeCell ref="B17:D17"/>
    <mergeCell ref="E17:F17"/>
    <mergeCell ref="G17:H17"/>
    <mergeCell ref="I17:J17"/>
    <mergeCell ref="K17:L17"/>
    <mergeCell ref="M17:N17"/>
    <mergeCell ref="B18:D18"/>
    <mergeCell ref="R32:R33"/>
    <mergeCell ref="A33:C33"/>
    <mergeCell ref="E33:F33"/>
    <mergeCell ref="G33:H33"/>
    <mergeCell ref="I33:J33"/>
    <mergeCell ref="K33:L33"/>
    <mergeCell ref="M33:N33"/>
    <mergeCell ref="A32:C32"/>
    <mergeCell ref="E32:F32"/>
    <mergeCell ref="G32:H32"/>
    <mergeCell ref="I32:J32"/>
    <mergeCell ref="K32:L32"/>
    <mergeCell ref="O32:P32"/>
    <mergeCell ref="O33:P33"/>
    <mergeCell ref="A31:C31"/>
    <mergeCell ref="H35:P36"/>
    <mergeCell ref="M32:N32"/>
    <mergeCell ref="Q29:Q30"/>
    <mergeCell ref="B29:C30"/>
    <mergeCell ref="A29:A30"/>
    <mergeCell ref="B3:P3"/>
    <mergeCell ref="Q13:R13"/>
    <mergeCell ref="O17:P17"/>
    <mergeCell ref="A23:A24"/>
    <mergeCell ref="B23:C24"/>
    <mergeCell ref="Q23:Q24"/>
    <mergeCell ref="R23:R24"/>
    <mergeCell ref="Q19:Q20"/>
    <mergeCell ref="R19:R20"/>
    <mergeCell ref="A21:A22"/>
    <mergeCell ref="B21:C22"/>
    <mergeCell ref="Q21:Q22"/>
    <mergeCell ref="R21:R22"/>
    <mergeCell ref="A19:A20"/>
    <mergeCell ref="B19:C20"/>
    <mergeCell ref="A13:B13"/>
    <mergeCell ref="A25:A26"/>
    <mergeCell ref="B25:C26"/>
    <mergeCell ref="Q25:Q26"/>
    <mergeCell ref="R25:R26"/>
    <mergeCell ref="A27:A28"/>
    <mergeCell ref="B27:C28"/>
    <mergeCell ref="Q27:Q28"/>
    <mergeCell ref="R27:R28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77" firstPageNumber="0" orientation="landscape" horizontalDpi="300" verticalDpi="300" r:id="rId1"/>
  <headerFooter alignWithMargins="0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Orçamento</vt:lpstr>
      <vt:lpstr>Cronograma</vt:lpstr>
      <vt:lpstr>Cronograma!Area_de_impressao</vt:lpstr>
      <vt:lpstr>Orçamento!Area_de_impressao</vt:lpstr>
      <vt:lpstr>Orçamento!Titulos_de_impressao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Leonam Custodio</dc:creator>
  <cp:lastModifiedBy>Felipe</cp:lastModifiedBy>
  <cp:lastPrinted>2018-04-28T13:11:27Z</cp:lastPrinted>
  <dcterms:created xsi:type="dcterms:W3CDTF">2017-03-21T20:01:40Z</dcterms:created>
  <dcterms:modified xsi:type="dcterms:W3CDTF">2018-04-28T13:11:41Z</dcterms:modified>
</cp:coreProperties>
</file>