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8940" tabRatio="575" activeTab="1"/>
  </bookViews>
  <sheets>
    <sheet name="Orçamento" sheetId="4" r:id="rId1"/>
    <sheet name="Cronograma" sheetId="5" r:id="rId2"/>
  </sheets>
  <definedNames>
    <definedName name="_xlnm.Print_Area" localSheetId="1">Cronograma!$A$1:$R$28</definedName>
    <definedName name="_xlnm.Print_Area" localSheetId="0">Orçamento!$A$1:$K$27</definedName>
    <definedName name="_xlnm.Print_Titles" localSheetId="0">Orçamento!$1:$12</definedName>
  </definedNames>
  <calcPr calcId="125725"/>
</workbook>
</file>

<file path=xl/calcChain.xml><?xml version="1.0" encoding="utf-8"?>
<calcChain xmlns="http://schemas.openxmlformats.org/spreadsheetml/2006/main">
  <c r="J19" i="4"/>
  <c r="F20"/>
  <c r="F16"/>
  <c r="F22"/>
  <c r="J21"/>
  <c r="I21"/>
  <c r="H21"/>
  <c r="I22" l="1"/>
  <c r="I20"/>
  <c r="I16"/>
  <c r="H22"/>
  <c r="J22" s="1"/>
  <c r="H20"/>
  <c r="J20" s="1"/>
  <c r="H18"/>
  <c r="H17"/>
  <c r="H16"/>
  <c r="J16" s="1"/>
  <c r="H14"/>
  <c r="F17"/>
  <c r="F18" s="1"/>
  <c r="F14"/>
  <c r="I14" s="1"/>
  <c r="I13" s="1"/>
  <c r="I17" l="1"/>
  <c r="J17"/>
  <c r="J14"/>
  <c r="J13" s="1"/>
  <c r="J18"/>
  <c r="I18"/>
  <c r="I19"/>
  <c r="I15" l="1"/>
  <c r="I26" s="1"/>
  <c r="Q13" i="5"/>
  <c r="C12"/>
  <c r="C11"/>
  <c r="E19"/>
  <c r="B23" l="1"/>
  <c r="A23"/>
  <c r="B21"/>
  <c r="A21"/>
  <c r="B19"/>
  <c r="A19"/>
  <c r="F19" l="1"/>
  <c r="H19" s="1"/>
  <c r="F23"/>
  <c r="H23" l="1"/>
  <c r="J19"/>
  <c r="Q19" l="1"/>
  <c r="J23"/>
  <c r="L19"/>
  <c r="N19" s="1"/>
  <c r="K20" l="1"/>
  <c r="E20"/>
  <c r="G20"/>
  <c r="I20"/>
  <c r="M20"/>
  <c r="L23"/>
  <c r="O20" l="1"/>
  <c r="P19"/>
  <c r="N23" l="1"/>
  <c r="P23" l="1"/>
  <c r="Q23"/>
  <c r="E24" s="1"/>
  <c r="O24" l="1"/>
  <c r="I24"/>
  <c r="G24"/>
  <c r="M24"/>
  <c r="K24"/>
  <c r="J15" i="4" l="1"/>
  <c r="Q21" i="5" l="1"/>
  <c r="J26" i="4"/>
  <c r="L15" s="1"/>
  <c r="Q25" i="5" l="1"/>
  <c r="R21" s="1"/>
  <c r="O22"/>
  <c r="F21"/>
  <c r="M22"/>
  <c r="I22"/>
  <c r="K22"/>
  <c r="L19" i="4"/>
  <c r="M26"/>
  <c r="M15" s="1"/>
  <c r="L13"/>
  <c r="G22" i="5"/>
  <c r="G25" s="1"/>
  <c r="R19"/>
  <c r="O25" l="1"/>
  <c r="O26" s="1"/>
  <c r="M25"/>
  <c r="M26" s="1"/>
  <c r="R23"/>
  <c r="R25"/>
  <c r="K25"/>
  <c r="K26" s="1"/>
  <c r="I25"/>
  <c r="I26" s="1"/>
  <c r="E22"/>
  <c r="M13" i="4"/>
  <c r="M19"/>
  <c r="H21" i="5"/>
  <c r="J21" s="1"/>
  <c r="L21" s="1"/>
  <c r="N21" s="1"/>
  <c r="P21" s="1"/>
  <c r="G26"/>
  <c r="H25"/>
  <c r="N25" l="1"/>
  <c r="P25"/>
  <c r="L25"/>
  <c r="J25"/>
  <c r="E25"/>
  <c r="F25" s="1"/>
  <c r="E26" l="1"/>
  <c r="E27" s="1"/>
  <c r="G27" s="1"/>
  <c r="I27" s="1"/>
  <c r="K27" s="1"/>
  <c r="M27" s="1"/>
  <c r="O27" s="1"/>
  <c r="Q27" s="1"/>
</calcChain>
</file>

<file path=xl/sharedStrings.xml><?xml version="1.0" encoding="utf-8"?>
<sst xmlns="http://schemas.openxmlformats.org/spreadsheetml/2006/main" count="110" uniqueCount="85">
  <si>
    <t xml:space="preserve">Orçamentista: </t>
  </si>
  <si>
    <t>ITEM</t>
  </si>
  <si>
    <t>UNID.</t>
  </si>
  <si>
    <t>QUANT.</t>
  </si>
  <si>
    <t>1.0</t>
  </si>
  <si>
    <t>sub-total</t>
  </si>
  <si>
    <t>OBS</t>
  </si>
  <si>
    <t>A empresa devera disponibilizar o material + mão de obra para atender as necessidades da Prefeitura Municipal , conforme solicitação da Secretaria Municipal de Obras</t>
  </si>
  <si>
    <t>VALOR TOTAL DOS SERVIÇOS</t>
  </si>
  <si>
    <t>CRONOGRAMA FISÍCO FINANCEIRO</t>
  </si>
  <si>
    <t>Cliente     :</t>
  </si>
  <si>
    <t>Calculista</t>
  </si>
  <si>
    <t>Local        :</t>
  </si>
  <si>
    <t>Obra         :</t>
  </si>
  <si>
    <t>Municipio :</t>
  </si>
  <si>
    <t>SERVIÇOS A EXECUTAR</t>
  </si>
  <si>
    <t>DISCRIMINAÇÃO</t>
  </si>
  <si>
    <t>DOS</t>
  </si>
  <si>
    <t>1º MES</t>
  </si>
  <si>
    <t>2º MES</t>
  </si>
  <si>
    <t>3º MES</t>
  </si>
  <si>
    <t>4º MES</t>
  </si>
  <si>
    <t>5º MES</t>
  </si>
  <si>
    <t>6º MES</t>
  </si>
  <si>
    <t xml:space="preserve">VALOR DOS  </t>
  </si>
  <si>
    <t>PESO</t>
  </si>
  <si>
    <t>SERVIÇOS</t>
  </si>
  <si>
    <t>Parc. %</t>
  </si>
  <si>
    <t>Acum. %</t>
  </si>
  <si>
    <t>SERVIÇOS (R$)</t>
  </si>
  <si>
    <t>%</t>
  </si>
  <si>
    <t>Fisico%</t>
  </si>
  <si>
    <t>Financeiro</t>
  </si>
  <si>
    <t>TOTAL EM %</t>
  </si>
  <si>
    <t>PARCELA MENSAL EM R$</t>
  </si>
  <si>
    <t>PARCELA ACUMULADA EM R$</t>
  </si>
  <si>
    <t>M3</t>
  </si>
  <si>
    <t>M2</t>
  </si>
  <si>
    <t>PREFEITURA MUNICIPAL DE AGUAÍ</t>
  </si>
  <si>
    <t>SECRETARIA MUNICIPAL DE PLANEJAMENTO, SERVIÇOS URBANOS E MEIO AMBIENTE</t>
  </si>
  <si>
    <t>CIDADE: Aguaí/SP</t>
  </si>
  <si>
    <t>FONTE</t>
  </si>
  <si>
    <t>Prefeitura Municipal de Aguaí</t>
  </si>
  <si>
    <t>Aguaí - SP</t>
  </si>
  <si>
    <t xml:space="preserve">LOCAL:  </t>
  </si>
  <si>
    <t>1.1</t>
  </si>
  <si>
    <t>Placa de obra em chapa de aço galvanizado</t>
  </si>
  <si>
    <t>BDI considerado</t>
  </si>
  <si>
    <t>2.0</t>
  </si>
  <si>
    <t>DESCRIMINAÇÃO - FORNECIMENTO DE MATERIAIS E SERVIÇOS</t>
  </si>
  <si>
    <t>PLACA DA OBRA</t>
  </si>
  <si>
    <t>RECAPEAMENTO</t>
  </si>
  <si>
    <t>2.1</t>
  </si>
  <si>
    <t>Pintura de ligação com emulsão RR-2C</t>
  </si>
  <si>
    <t>2.2</t>
  </si>
  <si>
    <t>2.3</t>
  </si>
  <si>
    <t>Transporte comercial com caminhão basculante 6 m3, rodovia pavimentada (DMT=10,0 KM)</t>
  </si>
  <si>
    <t>TxKm</t>
  </si>
  <si>
    <t>3.0</t>
  </si>
  <si>
    <t>SINALIZAÇÃO</t>
  </si>
  <si>
    <t>3.1</t>
  </si>
  <si>
    <t>3.2</t>
  </si>
  <si>
    <t>OBJETO:</t>
  </si>
  <si>
    <t>P. UNIT.
S/ BDI</t>
  </si>
  <si>
    <t>P. UNIT.
C/ BDI</t>
  </si>
  <si>
    <t>PRECO TOTAL
S/BDI</t>
  </si>
  <si>
    <t>PRECO TOTAL
C/BDI</t>
  </si>
  <si>
    <t>Construção de pavimento com aplicação de concreto betuminoso usinado a quente (CBUQ), camada de rolamento, com espessura de 3,0 cm - exclusive transporte</t>
  </si>
  <si>
    <t>Sinalizacao horizontal com tinta retrorrefletiva a base de resina acrilica com microesferas de vidro (6 Pictograma PARE e 6 Faixas de Pedestre)</t>
  </si>
  <si>
    <t>Placa esmaltada para identificação nome de rua, dimensões 45x25 cm</t>
  </si>
  <si>
    <t>3.3</t>
  </si>
  <si>
    <t>Placa de sinalização em chapa de aço n° 16 com Pintura Refletiva - PARE</t>
  </si>
  <si>
    <t>DATA  : 08/02/2018</t>
  </si>
  <si>
    <t>ANEXO I - PLANILHA ORÇAMENTÁRIA - PLANO DE TRABALHO 1030.521-73</t>
  </si>
  <si>
    <t>Área total de Arruamento: 9.792 m2  |  Extensão total dos Arruamentos: 1.000 m</t>
  </si>
  <si>
    <t>Recapeamento Asfáltico, Sinalização Viária Horizontal e Vertical</t>
  </si>
  <si>
    <t>Sinapi  
Não Desonerado</t>
  </si>
  <si>
    <t>74209/001
SINAPI Dez/17</t>
  </si>
  <si>
    <t>72943
SINAPI Dez/17</t>
  </si>
  <si>
    <t>95990
SINAPI Dez/17</t>
  </si>
  <si>
    <t>72843
SINAPI Dez/17</t>
  </si>
  <si>
    <t>72947
SINAPI Dez/17</t>
  </si>
  <si>
    <t>73916/002
SINAPI Dez/17</t>
  </si>
  <si>
    <t>34723
SINAPI Dez/17</t>
  </si>
  <si>
    <t>Rua Comissário Rodrigues Freitas, Rua Ver. Ramiro Defende, Rua João Osório de Oliveira Filho, Rua Ver. Argemiro C. Alexandre</t>
  </si>
</sst>
</file>

<file path=xl/styles.xml><?xml version="1.0" encoding="utf-8"?>
<styleSheet xmlns="http://schemas.openxmlformats.org/spreadsheetml/2006/main">
  <numFmts count="2">
    <numFmt numFmtId="164" formatCode="_(&quot;R$&quot;* #,##0.00_);_(&quot;R$&quot;* \(#,##0.00\);_(&quot;R$&quot;* \-??_);_(@_)"/>
    <numFmt numFmtId="165" formatCode="_(* #,##0.00_);_(* \(#,##0.00\);_(* \-??_);_(@_)"/>
  </numFmts>
  <fonts count="40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</font>
    <font>
      <sz val="11"/>
      <name val="Arial"/>
      <family val="2"/>
    </font>
    <font>
      <sz val="11"/>
      <name val="Arial"/>
      <family val="2"/>
      <charset val="1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trike/>
      <sz val="12"/>
      <name val="Arial"/>
      <family val="2"/>
      <charset val="1"/>
    </font>
    <font>
      <b/>
      <i/>
      <sz val="12"/>
      <name val="Arial"/>
      <family val="2"/>
      <charset val="1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39" fillId="0" borderId="0" applyFill="0" applyBorder="0" applyAlignment="0" applyProtection="0"/>
    <xf numFmtId="0" fontId="10" fillId="22" borderId="0" applyNumberFormat="0" applyBorder="0" applyAlignment="0" applyProtection="0"/>
    <xf numFmtId="0" fontId="39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165" fontId="39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41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/>
    <xf numFmtId="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0" fontId="0" fillId="24" borderId="0" xfId="0" applyFont="1" applyFill="1" applyAlignment="1">
      <alignment horizontal="center"/>
    </xf>
    <xf numFmtId="10" fontId="0" fillId="24" borderId="0" xfId="0" applyNumberFormat="1" applyFill="1" applyAlignment="1">
      <alignment horizontal="center"/>
    </xf>
    <xf numFmtId="14" fontId="21" fillId="0" borderId="0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4" fontId="22" fillId="0" borderId="13" xfId="36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7" fillId="0" borderId="14" xfId="0" applyFont="1" applyBorder="1" applyAlignment="1">
      <alignment horizontal="left" vertical="center"/>
    </xf>
    <xf numFmtId="0" fontId="31" fillId="0" borderId="0" xfId="0" applyFont="1" applyBorder="1" applyAlignment="1"/>
    <xf numFmtId="0" fontId="33" fillId="0" borderId="18" xfId="0" applyFont="1" applyBorder="1" applyAlignment="1">
      <alignment horizontal="right" vertical="top"/>
    </xf>
    <xf numFmtId="0" fontId="33" fillId="0" borderId="19" xfId="0" applyFont="1" applyBorder="1" applyAlignment="1">
      <alignment horizontal="right"/>
    </xf>
    <xf numFmtId="2" fontId="34" fillId="0" borderId="20" xfId="0" applyNumberFormat="1" applyFont="1" applyBorder="1" applyAlignment="1" applyProtection="1">
      <alignment horizontal="right" vertical="center"/>
    </xf>
    <xf numFmtId="2" fontId="34" fillId="0" borderId="21" xfId="0" applyNumberFormat="1" applyFont="1" applyBorder="1" applyAlignment="1" applyProtection="1">
      <alignment horizontal="center" vertical="center"/>
    </xf>
    <xf numFmtId="2" fontId="34" fillId="0" borderId="14" xfId="0" applyNumberFormat="1" applyFont="1" applyBorder="1" applyAlignment="1" applyProtection="1">
      <alignment horizontal="center" vertical="center"/>
    </xf>
    <xf numFmtId="2" fontId="34" fillId="0" borderId="22" xfId="0" applyNumberFormat="1" applyFont="1" applyBorder="1" applyAlignment="1" applyProtection="1">
      <alignment horizontal="right" vertical="center"/>
    </xf>
    <xf numFmtId="2" fontId="34" fillId="0" borderId="23" xfId="0" applyNumberFormat="1" applyFont="1" applyBorder="1" applyAlignment="1" applyProtection="1">
      <alignment horizontal="center" vertical="center"/>
    </xf>
    <xf numFmtId="4" fontId="33" fillId="0" borderId="24" xfId="0" applyNumberFormat="1" applyFont="1" applyBorder="1" applyAlignment="1" applyProtection="1">
      <alignment horizontal="center" vertical="center"/>
    </xf>
    <xf numFmtId="4" fontId="33" fillId="0" borderId="14" xfId="0" applyNumberFormat="1" applyFont="1" applyBorder="1" applyAlignment="1" applyProtection="1">
      <alignment horizontal="center" vertical="center"/>
      <protection locked="0"/>
    </xf>
    <xf numFmtId="4" fontId="34" fillId="25" borderId="14" xfId="0" applyNumberFormat="1" applyFont="1" applyFill="1" applyBorder="1" applyAlignment="1" applyProtection="1">
      <alignment horizontal="center" vertical="center"/>
    </xf>
    <xf numFmtId="4" fontId="33" fillId="0" borderId="14" xfId="0" applyNumberFormat="1" applyFont="1" applyBorder="1" applyAlignment="1" applyProtection="1">
      <alignment horizontal="center" vertical="center"/>
    </xf>
    <xf numFmtId="4" fontId="34" fillId="16" borderId="14" xfId="0" applyNumberFormat="1" applyFont="1" applyFill="1" applyBorder="1" applyAlignment="1" applyProtection="1">
      <alignment horizontal="center" vertical="center"/>
    </xf>
    <xf numFmtId="4" fontId="19" fillId="0" borderId="24" xfId="0" applyNumberFormat="1" applyFont="1" applyBorder="1" applyAlignment="1" applyProtection="1">
      <alignment horizontal="left" vertical="center"/>
    </xf>
    <xf numFmtId="4" fontId="33" fillId="0" borderId="25" xfId="0" applyNumberFormat="1" applyFont="1" applyBorder="1" applyAlignment="1" applyProtection="1">
      <alignment horizontal="center" vertical="center"/>
    </xf>
    <xf numFmtId="4" fontId="34" fillId="25" borderId="25" xfId="0" applyNumberFormat="1" applyFont="1" applyFill="1" applyBorder="1" applyAlignment="1" applyProtection="1">
      <alignment horizontal="center" vertical="center"/>
    </xf>
    <xf numFmtId="4" fontId="36" fillId="25" borderId="26" xfId="0" applyNumberFormat="1" applyFont="1" applyFill="1" applyBorder="1" applyAlignment="1">
      <alignment horizontal="right" vertical="center"/>
    </xf>
    <xf numFmtId="0" fontId="19" fillId="0" borderId="27" xfId="0" applyFont="1" applyBorder="1" applyAlignment="1" applyProtection="1">
      <alignment horizontal="left" vertical="center"/>
    </xf>
    <xf numFmtId="4" fontId="37" fillId="25" borderId="24" xfId="0" applyNumberFormat="1" applyFont="1" applyFill="1" applyBorder="1" applyAlignment="1" applyProtection="1">
      <alignment horizontal="right" vertical="center"/>
    </xf>
    <xf numFmtId="0" fontId="19" fillId="0" borderId="28" xfId="0" applyFont="1" applyBorder="1" applyAlignment="1" applyProtection="1">
      <alignment horizontal="left" vertical="center"/>
    </xf>
    <xf numFmtId="10" fontId="36" fillId="25" borderId="17" xfId="0" applyNumberFormat="1" applyFont="1" applyFill="1" applyBorder="1" applyAlignment="1" applyProtection="1">
      <alignment horizontal="right" vertical="center"/>
    </xf>
    <xf numFmtId="0" fontId="24" fillId="0" borderId="0" xfId="0" applyFont="1" applyBorder="1"/>
    <xf numFmtId="0" fontId="2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164" fontId="29" fillId="0" borderId="49" xfId="31" applyFont="1" applyFill="1" applyBorder="1" applyAlignment="1" applyProtection="1">
      <alignment horizontal="right" vertical="center"/>
    </xf>
    <xf numFmtId="0" fontId="22" fillId="16" borderId="13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vertical="center"/>
    </xf>
    <xf numFmtId="0" fontId="22" fillId="16" borderId="13" xfId="0" applyFont="1" applyFill="1" applyBorder="1" applyAlignment="1">
      <alignment vertical="center"/>
    </xf>
    <xf numFmtId="164" fontId="29" fillId="0" borderId="50" xfId="31" applyFont="1" applyFill="1" applyBorder="1" applyAlignment="1" applyProtection="1">
      <alignment horizontal="right" vertical="center"/>
    </xf>
    <xf numFmtId="4" fontId="22" fillId="0" borderId="50" xfId="36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28" fillId="0" borderId="32" xfId="0" applyFont="1" applyBorder="1" applyAlignment="1">
      <alignment horizontal="right" vertical="center"/>
    </xf>
    <xf numFmtId="0" fontId="22" fillId="0" borderId="22" xfId="0" applyFont="1" applyBorder="1" applyAlignment="1">
      <alignment horizontal="center" vertical="center"/>
    </xf>
    <xf numFmtId="4" fontId="22" fillId="0" borderId="22" xfId="36" applyNumberFormat="1" applyFont="1" applyFill="1" applyBorder="1" applyAlignment="1" applyProtection="1">
      <alignment horizontal="center" vertical="center"/>
    </xf>
    <xf numFmtId="4" fontId="24" fillId="0" borderId="55" xfId="0" applyNumberFormat="1" applyFont="1" applyBorder="1" applyAlignment="1">
      <alignment horizontal="center" vertical="center"/>
    </xf>
    <xf numFmtId="4" fontId="24" fillId="0" borderId="19" xfId="31" applyNumberFormat="1" applyFont="1" applyFill="1" applyBorder="1" applyAlignment="1" applyProtection="1">
      <alignment horizontal="center"/>
    </xf>
    <xf numFmtId="164" fontId="22" fillId="0" borderId="56" xfId="31" applyFont="1" applyFill="1" applyBorder="1" applyAlignment="1" applyProtection="1">
      <alignment horizontal="center" vertical="center" wrapText="1"/>
    </xf>
    <xf numFmtId="164" fontId="22" fillId="0" borderId="57" xfId="31" applyFont="1" applyFill="1" applyBorder="1" applyAlignment="1" applyProtection="1">
      <alignment horizontal="center" vertical="center" wrapText="1"/>
    </xf>
    <xf numFmtId="164" fontId="22" fillId="16" borderId="58" xfId="31" applyFont="1" applyFill="1" applyBorder="1" applyAlignment="1" applyProtection="1">
      <alignment horizontal="right" vertical="center"/>
    </xf>
    <xf numFmtId="164" fontId="22" fillId="16" borderId="51" xfId="31" applyFont="1" applyFill="1" applyBorder="1" applyAlignment="1" applyProtection="1">
      <alignment horizontal="right" vertical="center"/>
    </xf>
    <xf numFmtId="164" fontId="27" fillId="0" borderId="59" xfId="31" applyFont="1" applyFill="1" applyBorder="1" applyAlignment="1" applyProtection="1">
      <alignment horizontal="right" vertical="center"/>
    </xf>
    <xf numFmtId="164" fontId="27" fillId="0" borderId="60" xfId="31" applyFont="1" applyFill="1" applyBorder="1" applyAlignment="1" applyProtection="1">
      <alignment horizontal="right" vertical="center"/>
    </xf>
    <xf numFmtId="164" fontId="27" fillId="0" borderId="58" xfId="31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62" xfId="0" applyFont="1" applyBorder="1" applyAlignment="1">
      <alignment horizontal="right" vertical="center"/>
    </xf>
    <xf numFmtId="0" fontId="22" fillId="0" borderId="63" xfId="0" applyFont="1" applyBorder="1" applyAlignment="1">
      <alignment horizontal="right"/>
    </xf>
    <xf numFmtId="4" fontId="27" fillId="16" borderId="65" xfId="0" applyNumberFormat="1" applyFont="1" applyFill="1" applyBorder="1" applyAlignment="1">
      <alignment horizontal="right"/>
    </xf>
    <xf numFmtId="164" fontId="29" fillId="0" borderId="66" xfId="31" applyFont="1" applyFill="1" applyBorder="1" applyAlignment="1" applyProtection="1">
      <alignment horizontal="center" vertical="center"/>
    </xf>
    <xf numFmtId="164" fontId="29" fillId="0" borderId="67" xfId="31" applyFont="1" applyFill="1" applyBorder="1" applyAlignment="1" applyProtection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4" fontId="22" fillId="0" borderId="71" xfId="36" applyNumberFormat="1" applyFont="1" applyFill="1" applyBorder="1" applyAlignment="1" applyProtection="1">
      <alignment horizontal="center" vertical="center"/>
    </xf>
    <xf numFmtId="0" fontId="22" fillId="0" borderId="71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16" borderId="73" xfId="0" applyFont="1" applyFill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164" fontId="27" fillId="0" borderId="51" xfId="31" applyNumberFormat="1" applyFont="1" applyFill="1" applyBorder="1" applyAlignment="1" applyProtection="1">
      <alignment horizontal="right" vertical="center"/>
    </xf>
    <xf numFmtId="0" fontId="27" fillId="0" borderId="73" xfId="0" applyFont="1" applyBorder="1" applyAlignment="1">
      <alignment horizontal="center"/>
    </xf>
    <xf numFmtId="0" fontId="22" fillId="0" borderId="74" xfId="0" applyFont="1" applyBorder="1" applyAlignment="1">
      <alignment horizontal="center" vertical="center"/>
    </xf>
    <xf numFmtId="0" fontId="22" fillId="0" borderId="76" xfId="0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14" fontId="24" fillId="0" borderId="68" xfId="0" applyNumberFormat="1" applyFont="1" applyBorder="1" applyAlignment="1">
      <alignment horizontal="right" vertical="center"/>
    </xf>
    <xf numFmtId="10" fontId="1" fillId="0" borderId="53" xfId="34" applyNumberFormat="1" applyFill="1" applyBorder="1" applyAlignment="1" applyProtection="1">
      <alignment horizontal="center" vertical="center"/>
    </xf>
    <xf numFmtId="10" fontId="1" fillId="0" borderId="54" xfId="34" applyNumberFormat="1" applyFill="1" applyBorder="1" applyAlignment="1" applyProtection="1">
      <alignment horizontal="center" vertical="center"/>
    </xf>
    <xf numFmtId="4" fontId="27" fillId="25" borderId="52" xfId="0" applyNumberFormat="1" applyFont="1" applyFill="1" applyBorder="1" applyAlignment="1">
      <alignment horizontal="center"/>
    </xf>
    <xf numFmtId="4" fontId="27" fillId="25" borderId="27" xfId="0" applyNumberFormat="1" applyFont="1" applyFill="1" applyBorder="1" applyAlignment="1">
      <alignment horizontal="center"/>
    </xf>
    <xf numFmtId="4" fontId="27" fillId="25" borderId="50" xfId="0" applyNumberFormat="1" applyFont="1" applyFill="1" applyBorder="1" applyAlignment="1">
      <alignment horizontal="center"/>
    </xf>
    <xf numFmtId="4" fontId="27" fillId="25" borderId="48" xfId="0" applyNumberFormat="1" applyFont="1" applyFill="1" applyBorder="1" applyAlignment="1">
      <alignment horizontal="center"/>
    </xf>
    <xf numFmtId="4" fontId="25" fillId="0" borderId="31" xfId="0" applyNumberFormat="1" applyFont="1" applyBorder="1" applyAlignment="1">
      <alignment horizontal="center"/>
    </xf>
    <xf numFmtId="4" fontId="27" fillId="16" borderId="63" xfId="0" applyNumberFormat="1" applyFont="1" applyFill="1" applyBorder="1" applyAlignment="1">
      <alignment horizontal="right"/>
    </xf>
    <xf numFmtId="4" fontId="27" fillId="16" borderId="64" xfId="0" applyNumberFormat="1" applyFont="1" applyFill="1" applyBorder="1" applyAlignment="1">
      <alignment horizontal="right"/>
    </xf>
    <xf numFmtId="4" fontId="19" fillId="0" borderId="31" xfId="0" applyNumberFormat="1" applyFont="1" applyBorder="1" applyAlignment="1">
      <alignment horizontal="center"/>
    </xf>
    <xf numFmtId="4" fontId="24" fillId="0" borderId="69" xfId="0" applyNumberFormat="1" applyFont="1" applyBorder="1" applyAlignment="1">
      <alignment horizontal="center" vertical="center"/>
    </xf>
    <xf numFmtId="4" fontId="24" fillId="0" borderId="5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75" xfId="0" applyFont="1" applyBorder="1" applyAlignment="1">
      <alignment horizontal="left" vertical="center"/>
    </xf>
    <xf numFmtId="0" fontId="28" fillId="27" borderId="32" xfId="0" applyFont="1" applyFill="1" applyBorder="1" applyAlignment="1">
      <alignment horizontal="right" vertical="center"/>
    </xf>
    <xf numFmtId="0" fontId="28" fillId="27" borderId="27" xfId="0" applyFont="1" applyFill="1" applyBorder="1" applyAlignment="1">
      <alignment horizontal="right" vertical="center"/>
    </xf>
    <xf numFmtId="0" fontId="28" fillId="27" borderId="61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right" vertical="top"/>
    </xf>
    <xf numFmtId="4" fontId="23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left" vertical="center"/>
    </xf>
    <xf numFmtId="0" fontId="24" fillId="0" borderId="77" xfId="0" applyFont="1" applyBorder="1" applyAlignment="1">
      <alignment horizontal="left" vertical="center"/>
    </xf>
    <xf numFmtId="0" fontId="24" fillId="0" borderId="78" xfId="0" applyFont="1" applyBorder="1" applyAlignment="1">
      <alignment horizontal="left" vertical="center"/>
    </xf>
    <xf numFmtId="1" fontId="33" fillId="25" borderId="15" xfId="0" applyNumberFormat="1" applyFont="1" applyFill="1" applyBorder="1" applyAlignment="1" applyProtection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32" fillId="0" borderId="44" xfId="0" applyFont="1" applyBorder="1" applyAlignment="1">
      <alignment vertical="center"/>
    </xf>
    <xf numFmtId="0" fontId="19" fillId="0" borderId="45" xfId="0" applyFont="1" applyBorder="1" applyAlignment="1">
      <alignment horizontal="left" vertical="center"/>
    </xf>
    <xf numFmtId="0" fontId="32" fillId="0" borderId="46" xfId="0" applyFont="1" applyBorder="1" applyAlignment="1">
      <alignment vertical="center"/>
    </xf>
    <xf numFmtId="0" fontId="19" fillId="0" borderId="27" xfId="0" applyFont="1" applyBorder="1" applyAlignment="1">
      <alignment horizontal="left" vertical="center"/>
    </xf>
    <xf numFmtId="0" fontId="33" fillId="0" borderId="47" xfId="0" applyFont="1" applyBorder="1" applyAlignment="1">
      <alignment horizontal="center" wrapText="1"/>
    </xf>
    <xf numFmtId="0" fontId="32" fillId="0" borderId="46" xfId="0" applyFont="1" applyBorder="1" applyAlignment="1" applyProtection="1">
      <alignment vertical="center"/>
      <protection locked="0"/>
    </xf>
    <xf numFmtId="2" fontId="33" fillId="0" borderId="40" xfId="0" applyNumberFormat="1" applyFont="1" applyBorder="1" applyAlignment="1" applyProtection="1">
      <alignment horizontal="center"/>
    </xf>
    <xf numFmtId="2" fontId="34" fillId="0" borderId="41" xfId="0" applyNumberFormat="1" applyFont="1" applyBorder="1" applyAlignment="1">
      <alignment horizontal="center" vertical="center"/>
    </xf>
    <xf numFmtId="2" fontId="34" fillId="0" borderId="11" xfId="0" applyNumberFormat="1" applyFont="1" applyBorder="1" applyAlignment="1" applyProtection="1">
      <alignment horizontal="center" vertical="center"/>
    </xf>
    <xf numFmtId="2" fontId="34" fillId="0" borderId="42" xfId="0" applyNumberFormat="1" applyFont="1" applyBorder="1" applyAlignment="1" applyProtection="1">
      <alignment horizontal="center" vertical="center"/>
    </xf>
    <xf numFmtId="2" fontId="34" fillId="0" borderId="43" xfId="0" applyNumberFormat="1" applyFont="1" applyBorder="1" applyAlignment="1" applyProtection="1">
      <alignment horizontal="center" vertical="center"/>
    </xf>
    <xf numFmtId="2" fontId="34" fillId="0" borderId="20" xfId="0" applyNumberFormat="1" applyFont="1" applyBorder="1" applyAlignment="1" applyProtection="1">
      <alignment horizontal="center" vertical="center"/>
    </xf>
    <xf numFmtId="2" fontId="34" fillId="0" borderId="33" xfId="0" applyNumberFormat="1" applyFont="1" applyBorder="1" applyAlignment="1" applyProtection="1">
      <alignment horizontal="center" vertical="center"/>
    </xf>
    <xf numFmtId="2" fontId="34" fillId="0" borderId="38" xfId="0" applyNumberFormat="1" applyFont="1" applyBorder="1" applyAlignment="1" applyProtection="1">
      <alignment horizontal="center" vertical="center"/>
    </xf>
    <xf numFmtId="0" fontId="38" fillId="0" borderId="0" xfId="0" applyFont="1" applyBorder="1" applyAlignment="1">
      <alignment horizontal="center" vertical="top"/>
    </xf>
    <xf numFmtId="4" fontId="33" fillId="25" borderId="14" xfId="0" applyNumberFormat="1" applyFont="1" applyFill="1" applyBorder="1" applyAlignment="1" applyProtection="1">
      <alignment horizontal="center" vertical="center"/>
    </xf>
    <xf numFmtId="2" fontId="33" fillId="16" borderId="36" xfId="0" applyNumberFormat="1" applyFont="1" applyFill="1" applyBorder="1" applyAlignment="1" applyProtection="1">
      <alignment horizontal="center" vertical="center"/>
    </xf>
    <xf numFmtId="2" fontId="33" fillId="0" borderId="16" xfId="0" applyNumberFormat="1" applyFont="1" applyBorder="1" applyAlignment="1" applyProtection="1">
      <alignment horizontal="left" vertical="center"/>
    </xf>
    <xf numFmtId="4" fontId="36" fillId="25" borderId="17" xfId="0" applyNumberFormat="1" applyFont="1" applyFill="1" applyBorder="1" applyAlignment="1" applyProtection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" fontId="33" fillId="0" borderId="37" xfId="0" applyNumberFormat="1" applyFont="1" applyBorder="1" applyAlignment="1" applyProtection="1">
      <alignment horizontal="center" vertical="center" wrapText="1"/>
    </xf>
    <xf numFmtId="1" fontId="33" fillId="0" borderId="12" xfId="0" applyNumberFormat="1" applyFont="1" applyBorder="1" applyAlignment="1" applyProtection="1">
      <alignment horizontal="center" vertical="center" wrapText="1"/>
    </xf>
    <xf numFmtId="0" fontId="35" fillId="0" borderId="14" xfId="0" applyFont="1" applyBorder="1" applyAlignment="1">
      <alignment horizontal="left" vertical="center" wrapText="1"/>
    </xf>
    <xf numFmtId="4" fontId="36" fillId="25" borderId="14" xfId="0" applyNumberFormat="1" applyFont="1" applyFill="1" applyBorder="1" applyAlignment="1">
      <alignment horizontal="right" vertical="center"/>
    </xf>
    <xf numFmtId="2" fontId="36" fillId="0" borderId="79" xfId="0" applyNumberFormat="1" applyFont="1" applyBorder="1" applyAlignment="1" applyProtection="1">
      <alignment horizontal="center" vertical="center"/>
    </xf>
    <xf numFmtId="2" fontId="36" fillId="0" borderId="47" xfId="0" applyNumberFormat="1" applyFont="1" applyBorder="1" applyAlignment="1" applyProtection="1">
      <alignment horizontal="center" vertical="center"/>
    </xf>
    <xf numFmtId="0" fontId="32" fillId="0" borderId="39" xfId="0" applyFont="1" applyBorder="1" applyAlignment="1">
      <alignment vertical="center"/>
    </xf>
  </cellXfs>
  <cellStyles count="46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Neutra" xfId="32" builtinId="28" customBuiltin="1"/>
    <cellStyle name="Normal" xfId="0" builtinId="0"/>
    <cellStyle name="Nota" xfId="33" builtinId="10" customBuiltin="1"/>
    <cellStyle name="Porcentagem" xfId="34" builtinId="5"/>
    <cellStyle name="Saída" xfId="35" builtinId="21" customBuiltin="1"/>
    <cellStyle name="Separador de milhares" xfId="36" builtinId="3"/>
    <cellStyle name="Texto de Aviso" xfId="37" builtinId="11" customBuiltin="1"/>
    <cellStyle name="Texto Explicativo" xfId="38" builtinId="53" customBuiltin="1"/>
    <cellStyle name="Título 1" xfId="39" builtinId="16" customBuiltin="1"/>
    <cellStyle name="Título 1 1" xfId="40"/>
    <cellStyle name="Título 1 1 1" xfId="41"/>
    <cellStyle name="Título 2" xfId="42" builtinId="17" customBuiltin="1"/>
    <cellStyle name="Título 3" xfId="43" builtinId="18" customBuiltin="1"/>
    <cellStyle name="Título 4" xfId="44" builtinId="19" customBuiltin="1"/>
    <cellStyle name="Total" xfId="4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152400</xdr:rowOff>
    </xdr:from>
    <xdr:to>
      <xdr:col>2</xdr:col>
      <xdr:colOff>838200</xdr:colOff>
      <xdr:row>4</xdr:row>
      <xdr:rowOff>63500</xdr:rowOff>
    </xdr:to>
    <xdr:pic>
      <xdr:nvPicPr>
        <xdr:cNvPr id="4108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075" y="152400"/>
          <a:ext cx="695325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257175</xdr:colOff>
      <xdr:row>2</xdr:row>
      <xdr:rowOff>0</xdr:rowOff>
    </xdr:from>
    <xdr:to>
      <xdr:col>17</xdr:col>
      <xdr:colOff>114301</xdr:colOff>
      <xdr:row>6</xdr:row>
      <xdr:rowOff>47625</xdr:rowOff>
    </xdr:to>
    <xdr:pic>
      <xdr:nvPicPr>
        <xdr:cNvPr id="5129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21300" y="32385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view="pageBreakPreview" topLeftCell="A10" zoomScale="75" zoomScaleNormal="75" zoomScaleSheetLayoutView="75" workbookViewId="0">
      <selection activeCell="C8" sqref="C8:D8"/>
    </sheetView>
  </sheetViews>
  <sheetFormatPr defaultRowHeight="12.75"/>
  <cols>
    <col min="1" max="1" width="2.28515625" customWidth="1"/>
    <col min="2" max="2" width="10.7109375" customWidth="1"/>
    <col min="3" max="3" width="14.42578125" bestFit="1" customWidth="1"/>
    <col min="4" max="4" width="101.85546875" customWidth="1"/>
    <col min="5" max="5" width="10.42578125" customWidth="1"/>
    <col min="6" max="6" width="13.85546875" style="1" customWidth="1"/>
    <col min="7" max="7" width="14.5703125" style="2" bestFit="1" customWidth="1"/>
    <col min="8" max="8" width="14.42578125" style="2" customWidth="1"/>
    <col min="9" max="9" width="19.5703125" style="2" bestFit="1" customWidth="1"/>
    <col min="10" max="10" width="20.85546875" style="2" customWidth="1"/>
    <col min="11" max="11" width="2.140625" customWidth="1"/>
    <col min="12" max="12" width="15.28515625" customWidth="1"/>
    <col min="13" max="13" width="11.5703125" bestFit="1" customWidth="1"/>
  </cols>
  <sheetData>
    <row r="1" spans="2:13">
      <c r="B1" s="3"/>
      <c r="C1" s="3"/>
      <c r="D1" s="3"/>
      <c r="E1" s="3"/>
      <c r="F1" s="4"/>
      <c r="G1" s="5"/>
      <c r="H1" s="5"/>
      <c r="I1" s="5"/>
      <c r="J1" s="5"/>
    </row>
    <row r="2" spans="2:13" ht="20.25">
      <c r="B2" s="3"/>
      <c r="C2" s="3"/>
      <c r="D2" s="103" t="s">
        <v>38</v>
      </c>
      <c r="E2" s="103"/>
      <c r="F2" s="103"/>
      <c r="G2" s="5"/>
      <c r="H2" s="5"/>
      <c r="I2" s="5"/>
      <c r="J2" s="5"/>
    </row>
    <row r="3" spans="2:13">
      <c r="B3" s="3"/>
      <c r="C3" s="3"/>
      <c r="D3" s="3"/>
      <c r="E3" s="3"/>
      <c r="F3" s="4"/>
      <c r="G3" s="5"/>
      <c r="H3" s="5"/>
      <c r="I3" s="5"/>
      <c r="J3" s="5"/>
    </row>
    <row r="4" spans="2:13" ht="15.75">
      <c r="B4" s="6"/>
      <c r="C4" s="6"/>
      <c r="D4" s="104" t="s">
        <v>39</v>
      </c>
      <c r="E4" s="104"/>
      <c r="F4" s="104"/>
      <c r="G4" s="7"/>
      <c r="H4" s="7"/>
      <c r="I4" s="7"/>
      <c r="J4" s="7"/>
    </row>
    <row r="5" spans="2:13" ht="21" thickBot="1">
      <c r="B5" s="6"/>
      <c r="C5" s="6"/>
      <c r="D5" s="105"/>
      <c r="E5" s="105"/>
      <c r="F5" s="105"/>
      <c r="G5" s="7"/>
      <c r="H5" s="7"/>
      <c r="I5" s="7"/>
      <c r="J5" s="7"/>
    </row>
    <row r="6" spans="2:13" ht="27" customHeight="1" thickBot="1">
      <c r="B6" s="106" t="s">
        <v>73</v>
      </c>
      <c r="C6" s="106"/>
      <c r="D6" s="106"/>
      <c r="E6" s="106"/>
      <c r="F6" s="106"/>
      <c r="G6" s="106"/>
      <c r="H6" s="106"/>
      <c r="I6" s="106"/>
      <c r="J6" s="106"/>
    </row>
    <row r="7" spans="2:13" ht="25.9" customHeight="1" thickTop="1">
      <c r="B7" s="79" t="s">
        <v>62</v>
      </c>
      <c r="C7" s="108" t="s">
        <v>75</v>
      </c>
      <c r="D7" s="109"/>
      <c r="E7" s="107" t="s">
        <v>0</v>
      </c>
      <c r="F7" s="107"/>
      <c r="G7" s="107"/>
      <c r="H7" s="107"/>
      <c r="I7" s="107"/>
      <c r="J7" s="107"/>
    </row>
    <row r="8" spans="2:13" ht="31.5" customHeight="1">
      <c r="B8" s="79" t="s">
        <v>44</v>
      </c>
      <c r="C8" s="99" t="s">
        <v>84</v>
      </c>
      <c r="D8" s="100"/>
      <c r="E8" s="87"/>
      <c r="F8" s="87"/>
      <c r="G8" s="87"/>
      <c r="H8" s="87"/>
      <c r="I8" s="87"/>
      <c r="J8" s="87"/>
      <c r="L8" s="8"/>
    </row>
    <row r="9" spans="2:13" ht="25.9" customHeight="1">
      <c r="B9" s="79" t="s">
        <v>40</v>
      </c>
      <c r="C9" s="37"/>
      <c r="D9" s="6"/>
      <c r="E9" s="87"/>
      <c r="F9" s="87"/>
      <c r="G9" s="87"/>
      <c r="H9" s="87"/>
      <c r="I9" s="87"/>
      <c r="J9" s="87"/>
      <c r="L9" s="9"/>
    </row>
    <row r="10" spans="2:13" ht="25.9" customHeight="1" thickBot="1">
      <c r="B10" s="79" t="s">
        <v>72</v>
      </c>
      <c r="C10" s="37"/>
      <c r="D10" s="10"/>
      <c r="E10" s="90"/>
      <c r="F10" s="90"/>
      <c r="G10" s="90"/>
      <c r="H10" s="90"/>
      <c r="I10" s="90"/>
      <c r="J10" s="90"/>
    </row>
    <row r="11" spans="2:13" ht="36" customHeight="1" thickBot="1">
      <c r="B11" s="101" t="s">
        <v>76</v>
      </c>
      <c r="C11" s="102"/>
      <c r="D11" s="80" t="s">
        <v>74</v>
      </c>
      <c r="E11" s="91"/>
      <c r="F11" s="92"/>
      <c r="G11" s="92"/>
      <c r="H11" s="51"/>
      <c r="I11" s="51"/>
      <c r="J11" s="52"/>
    </row>
    <row r="12" spans="2:13" s="60" customFormat="1" ht="30">
      <c r="B12" s="68" t="s">
        <v>1</v>
      </c>
      <c r="C12" s="69"/>
      <c r="D12" s="69" t="s">
        <v>49</v>
      </c>
      <c r="E12" s="69" t="s">
        <v>2</v>
      </c>
      <c r="F12" s="70" t="s">
        <v>3</v>
      </c>
      <c r="G12" s="71" t="s">
        <v>63</v>
      </c>
      <c r="H12" s="72" t="s">
        <v>64</v>
      </c>
      <c r="I12" s="53" t="s">
        <v>65</v>
      </c>
      <c r="J12" s="54" t="s">
        <v>66</v>
      </c>
    </row>
    <row r="13" spans="2:13" ht="30" customHeight="1">
      <c r="B13" s="73" t="s">
        <v>4</v>
      </c>
      <c r="C13" s="42" t="s">
        <v>41</v>
      </c>
      <c r="D13" s="43" t="s">
        <v>50</v>
      </c>
      <c r="E13" s="96" t="s">
        <v>5</v>
      </c>
      <c r="F13" s="97"/>
      <c r="G13" s="97"/>
      <c r="H13" s="98"/>
      <c r="I13" s="55">
        <f>I14</f>
        <v>827.38</v>
      </c>
      <c r="J13" s="56">
        <f>J14</f>
        <v>1020.8199999999999</v>
      </c>
      <c r="L13" s="61">
        <f>ROUND((J13/$J$26)*$L$26,2)</f>
        <v>811.63</v>
      </c>
      <c r="M13" s="61">
        <f>ROUND((J13/$J$26)*$M$26,2)</f>
        <v>209.19</v>
      </c>
    </row>
    <row r="14" spans="2:13" s="14" customFormat="1" ht="32.1" customHeight="1">
      <c r="B14" s="74" t="s">
        <v>45</v>
      </c>
      <c r="C14" s="40" t="s">
        <v>77</v>
      </c>
      <c r="D14" s="11" t="s">
        <v>46</v>
      </c>
      <c r="E14" s="12" t="s">
        <v>37</v>
      </c>
      <c r="F14" s="13">
        <f>2*1.25</f>
        <v>2.5</v>
      </c>
      <c r="G14" s="41">
        <v>330.95</v>
      </c>
      <c r="H14" s="45">
        <f>G14*(1+$E$24)</f>
        <v>408.32610999999997</v>
      </c>
      <c r="I14" s="59">
        <f>ROUNDUP($F14*G14,2)</f>
        <v>827.38</v>
      </c>
      <c r="J14" s="75">
        <f>ROUNDUP($F14*H14,2)</f>
        <v>1020.8199999999999</v>
      </c>
    </row>
    <row r="15" spans="2:13" s="14" customFormat="1" ht="32.1" customHeight="1">
      <c r="B15" s="73" t="s">
        <v>48</v>
      </c>
      <c r="C15" s="42"/>
      <c r="D15" s="44" t="s">
        <v>51</v>
      </c>
      <c r="E15" s="96" t="s">
        <v>5</v>
      </c>
      <c r="F15" s="97"/>
      <c r="G15" s="97"/>
      <c r="H15" s="98"/>
      <c r="I15" s="55">
        <f>SUM(I16:I18)</f>
        <v>242772.09</v>
      </c>
      <c r="J15" s="56">
        <f>SUM(J16:J18)</f>
        <v>299532.19999999995</v>
      </c>
      <c r="L15" s="61">
        <f>ROUND((J15/$J$26)*$L$26,2)</f>
        <v>238150.68</v>
      </c>
      <c r="M15" s="61">
        <f>ROUND((J15/$J$26)*$M$26,2)</f>
        <v>61381.52</v>
      </c>
    </row>
    <row r="16" spans="2:13" s="14" customFormat="1" ht="32.1" customHeight="1">
      <c r="B16" s="74" t="s">
        <v>52</v>
      </c>
      <c r="C16" s="40" t="s">
        <v>78</v>
      </c>
      <c r="D16" s="11" t="s">
        <v>53</v>
      </c>
      <c r="E16" s="12" t="s">
        <v>37</v>
      </c>
      <c r="F16" s="13">
        <f>9600*1.02</f>
        <v>9792</v>
      </c>
      <c r="G16" s="41">
        <v>1.41</v>
      </c>
      <c r="H16" s="45">
        <f>G16*(1+$E$24)</f>
        <v>1.7396579999999999</v>
      </c>
      <c r="I16" s="59">
        <f t="shared" ref="I16:I18" si="0">ROUNDUP($F16*G16,2)</f>
        <v>13806.72</v>
      </c>
      <c r="J16" s="75">
        <f t="shared" ref="J16:J18" si="1">ROUNDUP($F16*H16,2)</f>
        <v>17034.739999999998</v>
      </c>
    </row>
    <row r="17" spans="2:13" s="14" customFormat="1" ht="32.1" customHeight="1">
      <c r="B17" s="74" t="s">
        <v>54</v>
      </c>
      <c r="C17" s="40" t="s">
        <v>79</v>
      </c>
      <c r="D17" s="11" t="s">
        <v>67</v>
      </c>
      <c r="E17" s="12" t="s">
        <v>36</v>
      </c>
      <c r="F17" s="13">
        <f>F16*0.03</f>
        <v>293.76</v>
      </c>
      <c r="G17" s="41">
        <v>761.91</v>
      </c>
      <c r="H17" s="45">
        <f>G17*(1+$E$24)</f>
        <v>940.04455799999994</v>
      </c>
      <c r="I17" s="59">
        <f t="shared" si="0"/>
        <v>223818.69</v>
      </c>
      <c r="J17" s="75">
        <f>ROUNDUP($F17*H17,2)</f>
        <v>276147.49</v>
      </c>
    </row>
    <row r="18" spans="2:13" s="14" customFormat="1" ht="32.1" customHeight="1">
      <c r="B18" s="74" t="s">
        <v>55</v>
      </c>
      <c r="C18" s="40" t="s">
        <v>80</v>
      </c>
      <c r="D18" s="11" t="s">
        <v>56</v>
      </c>
      <c r="E18" s="12" t="s">
        <v>57</v>
      </c>
      <c r="F18" s="13">
        <f>F17*2.4*10</f>
        <v>7050.24</v>
      </c>
      <c r="G18" s="41">
        <v>0.73</v>
      </c>
      <c r="H18" s="45">
        <f>G18*(1+$E$24)</f>
        <v>0.90067399999999997</v>
      </c>
      <c r="I18" s="59">
        <f t="shared" si="0"/>
        <v>5146.68</v>
      </c>
      <c r="J18" s="75">
        <f t="shared" si="1"/>
        <v>6349.97</v>
      </c>
    </row>
    <row r="19" spans="2:13" s="14" customFormat="1" ht="32.1" customHeight="1">
      <c r="B19" s="73" t="s">
        <v>58</v>
      </c>
      <c r="C19" s="42"/>
      <c r="D19" s="44" t="s">
        <v>59</v>
      </c>
      <c r="E19" s="96" t="s">
        <v>5</v>
      </c>
      <c r="F19" s="97"/>
      <c r="G19" s="97"/>
      <c r="H19" s="98"/>
      <c r="I19" s="55">
        <f>SUM(I20:I22)</f>
        <v>7021.33</v>
      </c>
      <c r="J19" s="56">
        <f>SUM(J20:J22)</f>
        <v>8662.94</v>
      </c>
      <c r="L19" s="61">
        <f>ROUND((J19/$J$26)*$L$26,2)</f>
        <v>6887.69</v>
      </c>
      <c r="M19" s="61">
        <f>ROUND((J19/$J$26)*$M$26,2)</f>
        <v>1775.25</v>
      </c>
    </row>
    <row r="20" spans="2:13" s="14" customFormat="1" ht="32.1" customHeight="1">
      <c r="B20" s="74" t="s">
        <v>60</v>
      </c>
      <c r="C20" s="40" t="s">
        <v>81</v>
      </c>
      <c r="D20" s="11" t="s">
        <v>68</v>
      </c>
      <c r="E20" s="12" t="s">
        <v>37</v>
      </c>
      <c r="F20" s="13">
        <f>6*(4+20)</f>
        <v>144</v>
      </c>
      <c r="G20" s="41">
        <v>27.31</v>
      </c>
      <c r="H20" s="45">
        <f>G20*(1+$E$24)</f>
        <v>33.695077999999995</v>
      </c>
      <c r="I20" s="59">
        <f t="shared" ref="I20:I22" si="2">ROUNDUP($F20*G20,2)</f>
        <v>3932.64</v>
      </c>
      <c r="J20" s="75">
        <f t="shared" ref="J20:J22" si="3">ROUNDUP($F20*H20,2)</f>
        <v>4852.1000000000004</v>
      </c>
      <c r="M20" s="61"/>
    </row>
    <row r="21" spans="2:13" s="14" customFormat="1" ht="32.1" customHeight="1">
      <c r="B21" s="74" t="s">
        <v>61</v>
      </c>
      <c r="C21" s="40" t="s">
        <v>82</v>
      </c>
      <c r="D21" s="15" t="s">
        <v>69</v>
      </c>
      <c r="E21" s="12" t="s">
        <v>2</v>
      </c>
      <c r="F21" s="13">
        <v>6</v>
      </c>
      <c r="G21" s="41">
        <v>86.85</v>
      </c>
      <c r="H21" s="45">
        <f>G21*(1+$E$24)</f>
        <v>107.15553</v>
      </c>
      <c r="I21" s="59">
        <f t="shared" ref="I21" si="4">ROUNDUP($F21*G21,2)</f>
        <v>521.1</v>
      </c>
      <c r="J21" s="75">
        <f t="shared" ref="J21" si="5">ROUNDUP($F21*H21,2)</f>
        <v>642.93999999999994</v>
      </c>
    </row>
    <row r="22" spans="2:13" ht="32.1" customHeight="1">
      <c r="B22" s="74" t="s">
        <v>70</v>
      </c>
      <c r="C22" s="40" t="s">
        <v>83</v>
      </c>
      <c r="D22" s="15" t="s">
        <v>71</v>
      </c>
      <c r="E22" s="12" t="s">
        <v>37</v>
      </c>
      <c r="F22" s="13">
        <f>6*0.78</f>
        <v>4.68</v>
      </c>
      <c r="G22" s="41">
        <v>548.63</v>
      </c>
      <c r="H22" s="45">
        <f>G22*(1+$E$24)</f>
        <v>676.89969399999995</v>
      </c>
      <c r="I22" s="59">
        <f t="shared" si="2"/>
        <v>2567.59</v>
      </c>
      <c r="J22" s="75">
        <f t="shared" si="3"/>
        <v>3167.9</v>
      </c>
      <c r="L22" s="14"/>
      <c r="M22" s="14"/>
    </row>
    <row r="23" spans="2:13" ht="32.1" customHeight="1" thickBot="1">
      <c r="B23" s="74"/>
      <c r="C23" s="38"/>
      <c r="D23" s="15"/>
      <c r="E23" s="49"/>
      <c r="F23" s="50"/>
      <c r="G23" s="13"/>
      <c r="H23" s="46"/>
      <c r="I23" s="57"/>
      <c r="J23" s="58"/>
      <c r="L23" s="14"/>
      <c r="M23" s="14"/>
    </row>
    <row r="24" spans="2:13" ht="30" customHeight="1">
      <c r="B24" s="76"/>
      <c r="C24" s="39"/>
      <c r="D24" s="48" t="s">
        <v>47</v>
      </c>
      <c r="E24" s="81">
        <v>0.23380000000000001</v>
      </c>
      <c r="F24" s="82"/>
      <c r="G24" s="83"/>
      <c r="H24" s="84"/>
      <c r="I24" s="85"/>
      <c r="J24" s="86"/>
      <c r="L24" s="14"/>
      <c r="M24" s="14"/>
    </row>
    <row r="25" spans="2:13" ht="24.95" customHeight="1" thickBot="1">
      <c r="B25" s="77" t="s">
        <v>6</v>
      </c>
      <c r="C25" s="62"/>
      <c r="D25" s="93" t="s">
        <v>7</v>
      </c>
      <c r="E25" s="94"/>
      <c r="F25" s="94"/>
      <c r="G25" s="93"/>
      <c r="H25" s="93"/>
      <c r="I25" s="93"/>
      <c r="J25" s="95"/>
      <c r="L25" s="14"/>
      <c r="M25" s="14"/>
    </row>
    <row r="26" spans="2:13" ht="24.95" customHeight="1" thickBot="1">
      <c r="B26" s="78"/>
      <c r="C26" s="63"/>
      <c r="D26" s="64" t="s">
        <v>8</v>
      </c>
      <c r="E26" s="88"/>
      <c r="F26" s="88"/>
      <c r="G26" s="89"/>
      <c r="H26" s="65"/>
      <c r="I26" s="67">
        <f>ROUNDUP(SUM(I13:I22)/2,2)</f>
        <v>250620.79999999999</v>
      </c>
      <c r="J26" s="66">
        <f>ROUNDUP(SUM(J13:J22)/2,2)</f>
        <v>309215.96000000002</v>
      </c>
      <c r="L26" s="61">
        <v>245850</v>
      </c>
      <c r="M26" s="61">
        <f>J26-L26</f>
        <v>63365.960000000021</v>
      </c>
    </row>
    <row r="29" spans="2:13" ht="22.9" customHeight="1"/>
    <row r="30" spans="2:13">
      <c r="D30" s="47"/>
    </row>
  </sheetData>
  <mergeCells count="19">
    <mergeCell ref="D2:F2"/>
    <mergeCell ref="D4:F4"/>
    <mergeCell ref="D5:F5"/>
    <mergeCell ref="B6:J6"/>
    <mergeCell ref="E7:J7"/>
    <mergeCell ref="C7:D7"/>
    <mergeCell ref="E24:F24"/>
    <mergeCell ref="G24:J24"/>
    <mergeCell ref="E8:J8"/>
    <mergeCell ref="E26:G26"/>
    <mergeCell ref="E9:J9"/>
    <mergeCell ref="E10:J10"/>
    <mergeCell ref="E11:G11"/>
    <mergeCell ref="D25:J25"/>
    <mergeCell ref="E13:H13"/>
    <mergeCell ref="E15:H15"/>
    <mergeCell ref="E19:H19"/>
    <mergeCell ref="C8:D8"/>
    <mergeCell ref="B11:C11"/>
  </mergeCells>
  <printOptions horizontalCentered="1"/>
  <pageMargins left="0.39370078740157483" right="0.27559055118110237" top="0.39370078740157483" bottom="0.19685039370078741" header="0.51181102362204722" footer="0.51181102362204722"/>
  <pageSetup paperSize="9" scale="56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tabSelected="1" view="pageBreakPreview" zoomScale="85" zoomScaleSheetLayoutView="85" workbookViewId="0">
      <selection activeCell="E16" sqref="E16:R16"/>
    </sheetView>
  </sheetViews>
  <sheetFormatPr defaultColWidth="8.28515625" defaultRowHeight="12.75"/>
  <cols>
    <col min="1" max="1" width="7.42578125" customWidth="1"/>
    <col min="2" max="2" width="10.7109375" customWidth="1"/>
    <col min="3" max="3" width="19" customWidth="1"/>
    <col min="4" max="4" width="12.42578125" customWidth="1"/>
    <col min="5" max="5" width="9.28515625" customWidth="1"/>
    <col min="6" max="6" width="9" customWidth="1"/>
    <col min="7" max="7" width="9.28515625" customWidth="1"/>
    <col min="8" max="10" width="9" customWidth="1"/>
    <col min="11" max="11" width="9.28515625" customWidth="1"/>
    <col min="12" max="16" width="9" customWidth="1"/>
    <col min="17" max="17" width="14" style="2" customWidth="1"/>
    <col min="18" max="18" width="10.140625" customWidth="1"/>
  </cols>
  <sheetData>
    <row r="2" spans="1:18" ht="12.75" customHeight="1">
      <c r="H2" s="16"/>
      <c r="I2" s="16"/>
      <c r="J2" s="16"/>
      <c r="K2" s="16"/>
      <c r="L2" s="16"/>
      <c r="M2" s="16"/>
      <c r="N2" s="16"/>
      <c r="O2" s="16"/>
      <c r="P2" s="16"/>
    </row>
    <row r="3" spans="1:18" ht="19.5" customHeight="1">
      <c r="B3" s="111" t="s">
        <v>38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5" spans="1:18" ht="12.75" customHeight="1">
      <c r="A5" s="111" t="s">
        <v>39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8" ht="12.7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9" spans="1:18" ht="18.75" thickBot="1">
      <c r="A9" s="112" t="s">
        <v>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</row>
    <row r="10" spans="1:18">
      <c r="A10" s="113" t="s">
        <v>10</v>
      </c>
      <c r="B10" s="113"/>
      <c r="C10" s="114" t="s">
        <v>42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7" t="s">
        <v>11</v>
      </c>
      <c r="R10" s="18"/>
    </row>
    <row r="11" spans="1:18" ht="14.65" customHeight="1">
      <c r="A11" s="115" t="s">
        <v>12</v>
      </c>
      <c r="B11" s="115"/>
      <c r="C11" s="116" t="str">
        <f>Orçamento!C8</f>
        <v>Rua Comissário Rodrigues Freitas, Rua Ver. Ramiro Defende, Rua João Osório de Oliveira Filho, Rua Ver. Argemiro C. Alexandre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7"/>
      <c r="R11" s="117"/>
    </row>
    <row r="12" spans="1:18">
      <c r="A12" s="118" t="s">
        <v>13</v>
      </c>
      <c r="B12" s="118"/>
      <c r="C12" s="116" t="str">
        <f>Orçamento!C7</f>
        <v>Recapeamento Asfáltico, Sinalização Viária Horizontal e Vertical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117"/>
    </row>
    <row r="13" spans="1:18" ht="13.5" thickBot="1">
      <c r="A13" s="140" t="s">
        <v>14</v>
      </c>
      <c r="B13" s="140"/>
      <c r="C13" s="116" t="s">
        <v>43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32" t="str">
        <f>Orçamento!B10</f>
        <v>DATA  : 08/02/2018</v>
      </c>
      <c r="R13" s="133"/>
    </row>
    <row r="14" spans="1:18" ht="13.5" thickBo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</row>
    <row r="15" spans="1:18" ht="23.25" customHeight="1" thickBot="1">
      <c r="A15" s="120" t="s">
        <v>15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18" ht="24.95" customHeight="1" thickBot="1">
      <c r="A16" s="121" t="s">
        <v>1</v>
      </c>
      <c r="B16" s="122" t="s">
        <v>16</v>
      </c>
      <c r="C16" s="122"/>
      <c r="D16" s="122"/>
      <c r="E16" s="123" t="s">
        <v>15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spans="1:18" ht="24.95" customHeight="1" thickBot="1">
      <c r="A17" s="121"/>
      <c r="B17" s="124" t="s">
        <v>17</v>
      </c>
      <c r="C17" s="124"/>
      <c r="D17" s="124"/>
      <c r="E17" s="125" t="s">
        <v>18</v>
      </c>
      <c r="F17" s="125"/>
      <c r="G17" s="125" t="s">
        <v>19</v>
      </c>
      <c r="H17" s="125"/>
      <c r="I17" s="125" t="s">
        <v>20</v>
      </c>
      <c r="J17" s="125"/>
      <c r="K17" s="125" t="s">
        <v>21</v>
      </c>
      <c r="L17" s="125"/>
      <c r="M17" s="125" t="s">
        <v>22</v>
      </c>
      <c r="N17" s="125"/>
      <c r="O17" s="125" t="s">
        <v>23</v>
      </c>
      <c r="P17" s="125"/>
      <c r="Q17" s="19" t="s">
        <v>24</v>
      </c>
      <c r="R17" s="20" t="s">
        <v>25</v>
      </c>
    </row>
    <row r="18" spans="1:18" ht="24.95" customHeight="1">
      <c r="A18" s="121"/>
      <c r="B18" s="126" t="s">
        <v>26</v>
      </c>
      <c r="C18" s="126"/>
      <c r="D18" s="126"/>
      <c r="E18" s="21" t="s">
        <v>27</v>
      </c>
      <c r="F18" s="21" t="s">
        <v>28</v>
      </c>
      <c r="G18" s="21" t="s">
        <v>27</v>
      </c>
      <c r="H18" s="21" t="s">
        <v>28</v>
      </c>
      <c r="I18" s="21" t="s">
        <v>27</v>
      </c>
      <c r="J18" s="21" t="s">
        <v>28</v>
      </c>
      <c r="K18" s="21" t="s">
        <v>27</v>
      </c>
      <c r="L18" s="21" t="s">
        <v>28</v>
      </c>
      <c r="M18" s="21" t="s">
        <v>27</v>
      </c>
      <c r="N18" s="21" t="s">
        <v>28</v>
      </c>
      <c r="O18" s="21" t="s">
        <v>27</v>
      </c>
      <c r="P18" s="21" t="s">
        <v>28</v>
      </c>
      <c r="Q18" s="22" t="s">
        <v>29</v>
      </c>
      <c r="R18" s="23" t="s">
        <v>30</v>
      </c>
    </row>
    <row r="19" spans="1:18" ht="24.95" customHeight="1">
      <c r="A19" s="134" t="str">
        <f>Orçamento!B13</f>
        <v>1.0</v>
      </c>
      <c r="B19" s="136" t="str">
        <f>Orçamento!D13</f>
        <v>PLACA DA OBRA</v>
      </c>
      <c r="C19" s="136"/>
      <c r="D19" s="24" t="s">
        <v>31</v>
      </c>
      <c r="E19" s="25">
        <f>100</f>
        <v>100</v>
      </c>
      <c r="F19" s="26">
        <f>E19</f>
        <v>100</v>
      </c>
      <c r="G19" s="25"/>
      <c r="H19" s="26">
        <f>F19+G19</f>
        <v>100</v>
      </c>
      <c r="I19" s="25"/>
      <c r="J19" s="26">
        <f>H19+I19</f>
        <v>100</v>
      </c>
      <c r="K19" s="25"/>
      <c r="L19" s="26">
        <f>J19+K19</f>
        <v>100</v>
      </c>
      <c r="M19" s="25"/>
      <c r="N19" s="26">
        <f>L19+M19</f>
        <v>100</v>
      </c>
      <c r="O19" s="25"/>
      <c r="P19" s="26">
        <f>N19+O19</f>
        <v>100</v>
      </c>
      <c r="Q19" s="137">
        <f>Orçamento!J13</f>
        <v>1020.8199999999999</v>
      </c>
      <c r="R19" s="138">
        <f>Q19*100/$Q$25</f>
        <v>0.33013173058725692</v>
      </c>
    </row>
    <row r="20" spans="1:18" ht="24.95" customHeight="1">
      <c r="A20" s="135"/>
      <c r="B20" s="136"/>
      <c r="C20" s="136"/>
      <c r="D20" s="27" t="s">
        <v>32</v>
      </c>
      <c r="E20" s="25">
        <f>E19*$Q19/100</f>
        <v>1020.82</v>
      </c>
      <c r="F20" s="28"/>
      <c r="G20" s="25">
        <f>G19*$Q19/100</f>
        <v>0</v>
      </c>
      <c r="H20" s="28"/>
      <c r="I20" s="25">
        <f>I19*$Q19/100</f>
        <v>0</v>
      </c>
      <c r="J20" s="28"/>
      <c r="K20" s="25">
        <f>K19*$Q19/100</f>
        <v>0</v>
      </c>
      <c r="L20" s="28"/>
      <c r="M20" s="25">
        <f>M19*$Q19/100</f>
        <v>0</v>
      </c>
      <c r="N20" s="28"/>
      <c r="O20" s="25">
        <f>O19*$Q19/100</f>
        <v>0</v>
      </c>
      <c r="P20" s="28"/>
      <c r="Q20" s="137"/>
      <c r="R20" s="139"/>
    </row>
    <row r="21" spans="1:18" ht="24.95" customHeight="1">
      <c r="A21" s="134" t="str">
        <f>Orçamento!B15</f>
        <v>2.0</v>
      </c>
      <c r="B21" s="136" t="str">
        <f>Orçamento!D15</f>
        <v>RECAPEAMENTO</v>
      </c>
      <c r="C21" s="136"/>
      <c r="D21" s="24" t="s">
        <v>31</v>
      </c>
      <c r="E21" s="25">
        <v>22.975753524996637</v>
      </c>
      <c r="F21" s="26">
        <f>E21</f>
        <v>22.975753524996637</v>
      </c>
      <c r="G21" s="25">
        <v>22.835805299062997</v>
      </c>
      <c r="H21" s="26">
        <f>F21+G21</f>
        <v>45.811558824059631</v>
      </c>
      <c r="I21" s="25">
        <v>22.642359986672556</v>
      </c>
      <c r="J21" s="26">
        <f>H21+I21</f>
        <v>68.453918810732191</v>
      </c>
      <c r="K21" s="25">
        <v>31.546081189267813</v>
      </c>
      <c r="L21" s="26">
        <f>J21+K21</f>
        <v>100</v>
      </c>
      <c r="M21" s="25"/>
      <c r="N21" s="26">
        <f>L21+M21</f>
        <v>100</v>
      </c>
      <c r="O21" s="25"/>
      <c r="P21" s="26">
        <f>N21+O21</f>
        <v>100</v>
      </c>
      <c r="Q21" s="137">
        <f>Orçamento!J15</f>
        <v>299532.19999999995</v>
      </c>
      <c r="R21" s="138">
        <f>Q21*100/$Q$25</f>
        <v>96.868285841390588</v>
      </c>
    </row>
    <row r="22" spans="1:18" ht="24.95" customHeight="1">
      <c r="A22" s="135"/>
      <c r="B22" s="136"/>
      <c r="C22" s="136"/>
      <c r="D22" s="27" t="s">
        <v>32</v>
      </c>
      <c r="E22" s="25">
        <f>E21*$Q21/100</f>
        <v>68819.77999999997</v>
      </c>
      <c r="F22" s="28"/>
      <c r="G22" s="25">
        <f>G21*$Q21/100</f>
        <v>68400.589999999967</v>
      </c>
      <c r="H22" s="28"/>
      <c r="I22" s="25">
        <f>I21*$Q21/100</f>
        <v>67821.159</v>
      </c>
      <c r="J22" s="28"/>
      <c r="K22" s="25">
        <f>K21*$Q21/100</f>
        <v>94490.671000000031</v>
      </c>
      <c r="L22" s="28"/>
      <c r="M22" s="25">
        <f>M21*$Q21/100</f>
        <v>0</v>
      </c>
      <c r="N22" s="28"/>
      <c r="O22" s="25">
        <f>O21*$Q21/100</f>
        <v>0</v>
      </c>
      <c r="P22" s="28"/>
      <c r="Q22" s="137"/>
      <c r="R22" s="139"/>
    </row>
    <row r="23" spans="1:18" ht="24.95" customHeight="1">
      <c r="A23" s="134" t="str">
        <f>Orçamento!B19</f>
        <v>3.0</v>
      </c>
      <c r="B23" s="136" t="str">
        <f>Orçamento!D19</f>
        <v>SINALIZAÇÃO</v>
      </c>
      <c r="C23" s="136"/>
      <c r="D23" s="24" t="s">
        <v>31</v>
      </c>
      <c r="E23" s="25"/>
      <c r="F23" s="26">
        <f>E23</f>
        <v>0</v>
      </c>
      <c r="G23" s="25"/>
      <c r="H23" s="26">
        <f>F23+G23</f>
        <v>0</v>
      </c>
      <c r="I23" s="25">
        <v>15</v>
      </c>
      <c r="J23" s="26">
        <f>H23+I23</f>
        <v>15</v>
      </c>
      <c r="K23" s="25">
        <v>18.112546087125125</v>
      </c>
      <c r="L23" s="26">
        <f>J23+K23</f>
        <v>33.112546087125125</v>
      </c>
      <c r="M23" s="25">
        <v>33.443726956437416</v>
      </c>
      <c r="N23" s="26">
        <f>L23+M23</f>
        <v>66.556273043562541</v>
      </c>
      <c r="O23" s="25">
        <v>33.443726956437416</v>
      </c>
      <c r="P23" s="26">
        <f>N23+O23</f>
        <v>99.999999999999957</v>
      </c>
      <c r="Q23" s="137">
        <f>Orçamento!J19</f>
        <v>8662.94</v>
      </c>
      <c r="R23" s="138">
        <f>Q23*100/$Q$25</f>
        <v>2.8015824280221504</v>
      </c>
    </row>
    <row r="24" spans="1:18" ht="24.95" customHeight="1">
      <c r="A24" s="135"/>
      <c r="B24" s="136"/>
      <c r="C24" s="136"/>
      <c r="D24" s="27" t="s">
        <v>32</v>
      </c>
      <c r="E24" s="25">
        <f>E23*$Q23/100</f>
        <v>0</v>
      </c>
      <c r="F24" s="28"/>
      <c r="G24" s="25">
        <f>G23*$Q23/100</f>
        <v>0</v>
      </c>
      <c r="H24" s="28"/>
      <c r="I24" s="25">
        <f>I23*$Q23/100</f>
        <v>1299.441</v>
      </c>
      <c r="J24" s="28"/>
      <c r="K24" s="25">
        <f>K23*$Q23/100</f>
        <v>1569.0789999999972</v>
      </c>
      <c r="L24" s="28"/>
      <c r="M24" s="25">
        <f>M23*$Q23/100</f>
        <v>2897.2099999999996</v>
      </c>
      <c r="N24" s="28"/>
      <c r="O24" s="25">
        <f>O23*$Q23/100</f>
        <v>2897.2099999999996</v>
      </c>
      <c r="P24" s="28"/>
      <c r="Q24" s="137"/>
      <c r="R24" s="139"/>
    </row>
    <row r="25" spans="1:18" ht="24.95" customHeight="1">
      <c r="A25" s="110" t="s">
        <v>33</v>
      </c>
      <c r="B25" s="110"/>
      <c r="C25" s="110"/>
      <c r="D25" s="29"/>
      <c r="E25" s="30">
        <f>SUMIFS(E19:E24,$D$19:$D$24,$D$20)</f>
        <v>69840.599999999977</v>
      </c>
      <c r="F25" s="31">
        <f>E25*100/$Q25</f>
        <v>22.586350329394378</v>
      </c>
      <c r="G25" s="30">
        <f>SUMIFS(G19:G24,$D$19:$D$24,$D$20)</f>
        <v>68400.589999999967</v>
      </c>
      <c r="H25" s="31">
        <f>G25*100/$Q25</f>
        <v>22.120653151279765</v>
      </c>
      <c r="I25" s="30">
        <f>SUMIFS(I19:I24,$D$19:$D$24,$D$20)</f>
        <v>69120.600000000006</v>
      </c>
      <c r="J25" s="31">
        <f>I25*100/$Q25</f>
        <v>22.353503357329945</v>
      </c>
      <c r="K25" s="30">
        <f>SUMIFS(K19:K24,$D$19:$D$24,$D$20)</f>
        <v>96059.750000000029</v>
      </c>
      <c r="L25" s="31">
        <f>K25*100/$Q25</f>
        <v>31.065586006621409</v>
      </c>
      <c r="M25" s="30">
        <f>SUMIFS(M19:M24,$D$19:$D$24,$D$20)</f>
        <v>2897.2099999999996</v>
      </c>
      <c r="N25" s="31">
        <f>M25*100/$Q25</f>
        <v>0.93695357768725773</v>
      </c>
      <c r="O25" s="30">
        <f>SUMIFS(O19:O24,$D$19:$D$24,$D$20)</f>
        <v>2897.2099999999996</v>
      </c>
      <c r="P25" s="31">
        <f>O25*100/$Q25</f>
        <v>0.93695357768725773</v>
      </c>
      <c r="Q25" s="32">
        <f>SUM(Q19:Q24)</f>
        <v>309215.95999999996</v>
      </c>
      <c r="R25" s="32">
        <f>SUM(R19:R24)</f>
        <v>99.999999999999986</v>
      </c>
    </row>
    <row r="26" spans="1:18" ht="24.95" customHeight="1" thickBot="1">
      <c r="A26" s="110" t="s">
        <v>34</v>
      </c>
      <c r="B26" s="110"/>
      <c r="C26" s="110"/>
      <c r="D26" s="33"/>
      <c r="E26" s="128">
        <f>E25</f>
        <v>69840.599999999977</v>
      </c>
      <c r="F26" s="128"/>
      <c r="G26" s="128">
        <f>G25</f>
        <v>68400.589999999967</v>
      </c>
      <c r="H26" s="128"/>
      <c r="I26" s="128">
        <f>I25</f>
        <v>69120.600000000006</v>
      </c>
      <c r="J26" s="128"/>
      <c r="K26" s="128">
        <f>K25</f>
        <v>96059.750000000029</v>
      </c>
      <c r="L26" s="128"/>
      <c r="M26" s="128">
        <f>M25</f>
        <v>2897.2099999999996</v>
      </c>
      <c r="N26" s="128"/>
      <c r="O26" s="128">
        <f>O25</f>
        <v>2897.2099999999996</v>
      </c>
      <c r="P26" s="128"/>
      <c r="Q26" s="34" t="s">
        <v>30</v>
      </c>
      <c r="R26" s="129"/>
    </row>
    <row r="27" spans="1:18" ht="24.95" customHeight="1" thickBot="1">
      <c r="A27" s="130" t="s">
        <v>35</v>
      </c>
      <c r="B27" s="130"/>
      <c r="C27" s="130"/>
      <c r="D27" s="35"/>
      <c r="E27" s="131">
        <f>ROUNDUP(E26,2)</f>
        <v>69840.600000000006</v>
      </c>
      <c r="F27" s="131"/>
      <c r="G27" s="131">
        <f>G26+E27</f>
        <v>138241.18999999997</v>
      </c>
      <c r="H27" s="131"/>
      <c r="I27" s="131">
        <f>I26+G27</f>
        <v>207361.78999999998</v>
      </c>
      <c r="J27" s="131"/>
      <c r="K27" s="131">
        <f>K26+I27</f>
        <v>303421.54000000004</v>
      </c>
      <c r="L27" s="131"/>
      <c r="M27" s="131">
        <f>M26+K27</f>
        <v>306318.75000000006</v>
      </c>
      <c r="N27" s="131"/>
      <c r="O27" s="131">
        <f>O26+M27</f>
        <v>309215.96000000008</v>
      </c>
      <c r="P27" s="131"/>
      <c r="Q27" s="36">
        <f>O27/Q25</f>
        <v>1.0000000000000004</v>
      </c>
      <c r="R27" s="129"/>
    </row>
    <row r="29" spans="1:18">
      <c r="H29" s="127"/>
      <c r="I29" s="127"/>
      <c r="J29" s="127"/>
      <c r="K29" s="127"/>
      <c r="L29" s="127"/>
      <c r="M29" s="127"/>
      <c r="N29" s="127"/>
      <c r="O29" s="127"/>
      <c r="P29" s="127"/>
    </row>
    <row r="30" spans="1:18">
      <c r="H30" s="127"/>
      <c r="I30" s="127"/>
      <c r="J30" s="127"/>
      <c r="K30" s="127"/>
      <c r="L30" s="127"/>
      <c r="M30" s="127"/>
      <c r="N30" s="127"/>
      <c r="O30" s="127"/>
      <c r="P30" s="127"/>
    </row>
    <row r="33" spans="8:16" ht="18.75">
      <c r="H33" s="16"/>
      <c r="I33" s="16"/>
      <c r="J33" s="16"/>
      <c r="K33" s="16"/>
      <c r="L33" s="16"/>
      <c r="M33" s="16"/>
      <c r="N33" s="16"/>
      <c r="O33" s="16"/>
      <c r="P33" s="16"/>
    </row>
  </sheetData>
  <mergeCells count="55">
    <mergeCell ref="A23:A24"/>
    <mergeCell ref="B23:C24"/>
    <mergeCell ref="Q23:Q24"/>
    <mergeCell ref="R23:R24"/>
    <mergeCell ref="Q19:Q20"/>
    <mergeCell ref="R19:R20"/>
    <mergeCell ref="A21:A22"/>
    <mergeCell ref="B21:C22"/>
    <mergeCell ref="Q21:Q22"/>
    <mergeCell ref="R21:R22"/>
    <mergeCell ref="A19:A20"/>
    <mergeCell ref="B19:C20"/>
    <mergeCell ref="O26:P26"/>
    <mergeCell ref="O27:P27"/>
    <mergeCell ref="B3:P3"/>
    <mergeCell ref="Q13:R13"/>
    <mergeCell ref="O17:P17"/>
    <mergeCell ref="A13:B13"/>
    <mergeCell ref="M17:N17"/>
    <mergeCell ref="B18:D18"/>
    <mergeCell ref="H29:P30"/>
    <mergeCell ref="M26:N26"/>
    <mergeCell ref="R26:R27"/>
    <mergeCell ref="A27:C27"/>
    <mergeCell ref="E27:F27"/>
    <mergeCell ref="G27:H27"/>
    <mergeCell ref="I27:J27"/>
    <mergeCell ref="K27:L27"/>
    <mergeCell ref="M27:N27"/>
    <mergeCell ref="A26:C26"/>
    <mergeCell ref="E26:F26"/>
    <mergeCell ref="G26:H26"/>
    <mergeCell ref="I26:J26"/>
    <mergeCell ref="K26:L26"/>
    <mergeCell ref="B17:D17"/>
    <mergeCell ref="E17:F17"/>
    <mergeCell ref="G17:H17"/>
    <mergeCell ref="I17:J17"/>
    <mergeCell ref="K17:L17"/>
    <mergeCell ref="A25:C25"/>
    <mergeCell ref="A5:P6"/>
    <mergeCell ref="A9:R9"/>
    <mergeCell ref="A10:B10"/>
    <mergeCell ref="C10:P10"/>
    <mergeCell ref="A11:B11"/>
    <mergeCell ref="C11:P11"/>
    <mergeCell ref="Q11:R12"/>
    <mergeCell ref="A12:B12"/>
    <mergeCell ref="C12:P12"/>
    <mergeCell ref="C13:P13"/>
    <mergeCell ref="A14:R14"/>
    <mergeCell ref="A15:R15"/>
    <mergeCell ref="A16:A18"/>
    <mergeCell ref="B16:D16"/>
    <mergeCell ref="E16:R16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7" firstPageNumber="0" orientation="landscape" r:id="rId1"/>
  <headerFooter alignWithMargins="0"/>
  <rowBreaks count="1" manualBreakCount="1">
    <brk id="28" max="16383" man="1"/>
  </rowBreaks>
  <ignoredErrors>
    <ignoredError sqref="E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Cronograma</vt:lpstr>
      <vt:lpstr>Cronograma!Area_de_impressao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Leonam Custodio</dc:creator>
  <cp:lastModifiedBy>Leonam Costa</cp:lastModifiedBy>
  <cp:lastPrinted>2018-05-08T17:32:35Z</cp:lastPrinted>
  <dcterms:created xsi:type="dcterms:W3CDTF">2017-03-21T20:01:40Z</dcterms:created>
  <dcterms:modified xsi:type="dcterms:W3CDTF">2018-05-08T17:32:36Z</dcterms:modified>
</cp:coreProperties>
</file>